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at\life\Blurb\User Manuals\Universal CAN Template\DBC\"/>
    </mc:Choice>
  </mc:AlternateContent>
  <bookViews>
    <workbookView xWindow="0" yWindow="0" windowWidth="18870" windowHeight="11760" activeTab="1"/>
  </bookViews>
  <sheets>
    <sheet name="PDU" sheetId="1" r:id="rId1"/>
    <sheet name="ECU" sheetId="2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2" l="1"/>
  <c r="U54" i="2" l="1"/>
  <c r="U51" i="2"/>
  <c r="U48" i="2"/>
  <c r="U45" i="2"/>
  <c r="U42" i="2"/>
  <c r="U39" i="2"/>
  <c r="U36" i="2"/>
  <c r="U33" i="2"/>
  <c r="U30" i="2"/>
  <c r="U27" i="2"/>
  <c r="U24" i="2"/>
  <c r="U21" i="2"/>
  <c r="U18" i="2"/>
  <c r="U15" i="2"/>
  <c r="U12" i="2"/>
  <c r="U9" i="2"/>
  <c r="U6" i="2"/>
  <c r="U3" i="2"/>
  <c r="L36" i="2" l="1"/>
  <c r="V36" i="2" s="1"/>
  <c r="N36" i="2"/>
  <c r="P36" i="2"/>
  <c r="X36" i="2" s="1"/>
  <c r="R36" i="2"/>
  <c r="L38" i="2"/>
  <c r="M38" i="2"/>
  <c r="N38" i="2"/>
  <c r="W36" i="2" s="1"/>
  <c r="O38" i="2"/>
  <c r="P38" i="2"/>
  <c r="Q38" i="2"/>
  <c r="R38" i="2"/>
  <c r="S38" i="2"/>
  <c r="L39" i="2"/>
  <c r="N39" i="2"/>
  <c r="P39" i="2"/>
  <c r="R39" i="2"/>
  <c r="X39" i="2"/>
  <c r="L41" i="2"/>
  <c r="V39" i="2" s="1"/>
  <c r="M41" i="2"/>
  <c r="N41" i="2"/>
  <c r="W39" i="2" s="1"/>
  <c r="O41" i="2"/>
  <c r="P41" i="2"/>
  <c r="Q41" i="2"/>
  <c r="R41" i="2"/>
  <c r="S41" i="2"/>
  <c r="Y39" i="2" s="1"/>
  <c r="L42" i="2"/>
  <c r="N42" i="2"/>
  <c r="P42" i="2"/>
  <c r="R42" i="2"/>
  <c r="Y42" i="2" s="1"/>
  <c r="X42" i="2"/>
  <c r="L44" i="2"/>
  <c r="V42" i="2" s="1"/>
  <c r="M44" i="2"/>
  <c r="N44" i="2"/>
  <c r="W42" i="2" s="1"/>
  <c r="O44" i="2"/>
  <c r="P44" i="2"/>
  <c r="Q44" i="2"/>
  <c r="R44" i="2"/>
  <c r="S44" i="2"/>
  <c r="L45" i="2"/>
  <c r="N45" i="2"/>
  <c r="P45" i="2"/>
  <c r="X45" i="2" s="1"/>
  <c r="R45" i="2"/>
  <c r="Y45" i="2" s="1"/>
  <c r="W45" i="2"/>
  <c r="L47" i="2"/>
  <c r="M47" i="2"/>
  <c r="N47" i="2"/>
  <c r="O47" i="2"/>
  <c r="P47" i="2"/>
  <c r="Q47" i="2"/>
  <c r="R47" i="2"/>
  <c r="S47" i="2"/>
  <c r="L48" i="2"/>
  <c r="N48" i="2"/>
  <c r="P48" i="2"/>
  <c r="R48" i="2"/>
  <c r="L50" i="2"/>
  <c r="V48" i="2" s="1"/>
  <c r="M50" i="2"/>
  <c r="N50" i="2"/>
  <c r="O50" i="2"/>
  <c r="P50" i="2"/>
  <c r="Q50" i="2"/>
  <c r="R50" i="2"/>
  <c r="S50" i="2"/>
  <c r="Y48" i="2" s="1"/>
  <c r="L51" i="2"/>
  <c r="N51" i="2"/>
  <c r="P51" i="2"/>
  <c r="R51" i="2"/>
  <c r="L53" i="2"/>
  <c r="M53" i="2"/>
  <c r="N53" i="2"/>
  <c r="O53" i="2"/>
  <c r="P53" i="2"/>
  <c r="X51" i="2" s="1"/>
  <c r="Q53" i="2"/>
  <c r="R53" i="2"/>
  <c r="S53" i="2"/>
  <c r="Y51" i="2" s="1"/>
  <c r="L54" i="2"/>
  <c r="N54" i="2"/>
  <c r="P54" i="2"/>
  <c r="R54" i="2"/>
  <c r="L56" i="2"/>
  <c r="V54" i="2" s="1"/>
  <c r="M56" i="2"/>
  <c r="N56" i="2"/>
  <c r="W54" i="2" s="1"/>
  <c r="O56" i="2"/>
  <c r="P56" i="2"/>
  <c r="X54" i="2" s="1"/>
  <c r="Q56" i="2"/>
  <c r="R56" i="2"/>
  <c r="S56" i="2"/>
  <c r="V45" i="2" l="1"/>
  <c r="Y36" i="2"/>
  <c r="Y54" i="2"/>
  <c r="V51" i="2"/>
  <c r="W51" i="2"/>
  <c r="X48" i="2"/>
  <c r="W48" i="2"/>
  <c r="V3" i="2"/>
  <c r="X3" i="2"/>
  <c r="Y3" i="2"/>
  <c r="W6" i="2"/>
  <c r="X6" i="2"/>
  <c r="Y6" i="2"/>
  <c r="W9" i="2"/>
  <c r="X9" i="2"/>
  <c r="Y9" i="2"/>
  <c r="V12" i="2"/>
  <c r="W12" i="2"/>
  <c r="X12" i="2"/>
  <c r="Y12" i="2"/>
  <c r="V15" i="2"/>
  <c r="W15" i="2"/>
  <c r="X15" i="2"/>
  <c r="Y15" i="2"/>
  <c r="V18" i="2"/>
  <c r="W18" i="2"/>
  <c r="X18" i="2"/>
  <c r="Y18" i="2"/>
  <c r="V21" i="2"/>
  <c r="W21" i="2"/>
  <c r="X21" i="2"/>
  <c r="Y21" i="2"/>
  <c r="V24" i="2"/>
  <c r="W24" i="2"/>
  <c r="X24" i="2"/>
  <c r="Y24" i="2"/>
  <c r="V27" i="2"/>
  <c r="W27" i="2"/>
  <c r="X27" i="2"/>
  <c r="Y27" i="2"/>
  <c r="V30" i="2"/>
  <c r="W30" i="2"/>
  <c r="X30" i="2"/>
  <c r="Y30" i="2"/>
  <c r="Y33" i="2"/>
  <c r="V33" i="2"/>
  <c r="W33" i="2"/>
  <c r="X33" i="2"/>
  <c r="L24" i="2"/>
  <c r="N24" i="2"/>
  <c r="P24" i="2"/>
  <c r="R24" i="2"/>
  <c r="L26" i="2"/>
  <c r="M26" i="2"/>
  <c r="N26" i="2"/>
  <c r="O26" i="2"/>
  <c r="P26" i="2"/>
  <c r="Q26" i="2"/>
  <c r="R26" i="2"/>
  <c r="S26" i="2"/>
  <c r="L27" i="2"/>
  <c r="N27" i="2"/>
  <c r="P27" i="2"/>
  <c r="R27" i="2"/>
  <c r="L29" i="2"/>
  <c r="M29" i="2"/>
  <c r="N29" i="2"/>
  <c r="O29" i="2"/>
  <c r="P29" i="2"/>
  <c r="Q29" i="2"/>
  <c r="R29" i="2"/>
  <c r="S29" i="2"/>
  <c r="L30" i="2"/>
  <c r="N30" i="2"/>
  <c r="P30" i="2"/>
  <c r="R30" i="2"/>
  <c r="L32" i="2"/>
  <c r="M32" i="2"/>
  <c r="N32" i="2"/>
  <c r="O32" i="2"/>
  <c r="P32" i="2"/>
  <c r="Q32" i="2"/>
  <c r="R32" i="2"/>
  <c r="S32" i="2"/>
  <c r="L33" i="2"/>
  <c r="N33" i="2"/>
  <c r="P33" i="2"/>
  <c r="R33" i="2"/>
  <c r="L35" i="2"/>
  <c r="M35" i="2"/>
  <c r="N35" i="2"/>
  <c r="O35" i="2"/>
  <c r="P35" i="2"/>
  <c r="Q35" i="2"/>
  <c r="R35" i="2"/>
  <c r="S35" i="2"/>
  <c r="L3" i="2"/>
  <c r="N3" i="2"/>
  <c r="W3" i="2" s="1"/>
  <c r="P3" i="2"/>
  <c r="R3" i="2"/>
  <c r="L5" i="2"/>
  <c r="M5" i="2"/>
  <c r="N5" i="2"/>
  <c r="O5" i="2"/>
  <c r="P5" i="2"/>
  <c r="Q5" i="2"/>
  <c r="R5" i="2"/>
  <c r="S5" i="2"/>
  <c r="L6" i="2"/>
  <c r="V6" i="2" s="1"/>
  <c r="N6" i="2"/>
  <c r="P6" i="2"/>
  <c r="R6" i="2"/>
  <c r="L8" i="2"/>
  <c r="M8" i="2"/>
  <c r="N8" i="2"/>
  <c r="O8" i="2"/>
  <c r="P8" i="2"/>
  <c r="Q8" i="2"/>
  <c r="R8" i="2"/>
  <c r="S8" i="2"/>
  <c r="L9" i="2"/>
  <c r="V9" i="2" s="1"/>
  <c r="N9" i="2"/>
  <c r="P9" i="2"/>
  <c r="R9" i="2"/>
  <c r="L11" i="2"/>
  <c r="M11" i="2"/>
  <c r="N11" i="2"/>
  <c r="O11" i="2"/>
  <c r="P11" i="2"/>
  <c r="Q11" i="2"/>
  <c r="R11" i="2"/>
  <c r="S11" i="2"/>
  <c r="L12" i="2"/>
  <c r="N12" i="2"/>
  <c r="P12" i="2"/>
  <c r="R12" i="2"/>
  <c r="L14" i="2"/>
  <c r="M14" i="2"/>
  <c r="N14" i="2"/>
  <c r="O14" i="2"/>
  <c r="P14" i="2"/>
  <c r="Q14" i="2"/>
  <c r="R14" i="2"/>
  <c r="S14" i="2"/>
  <c r="L15" i="2"/>
  <c r="N15" i="2"/>
  <c r="P15" i="2"/>
  <c r="R15" i="2"/>
  <c r="L17" i="2"/>
  <c r="M17" i="2"/>
  <c r="N17" i="2"/>
  <c r="O17" i="2"/>
  <c r="P17" i="2"/>
  <c r="Q17" i="2"/>
  <c r="R17" i="2"/>
  <c r="S17" i="2"/>
  <c r="L18" i="2"/>
  <c r="N18" i="2"/>
  <c r="P18" i="2"/>
  <c r="R18" i="2"/>
  <c r="L20" i="2"/>
  <c r="M20" i="2"/>
  <c r="N20" i="2"/>
  <c r="O20" i="2"/>
  <c r="P20" i="2"/>
  <c r="Q20" i="2"/>
  <c r="R20" i="2"/>
  <c r="S20" i="2"/>
  <c r="L21" i="2"/>
  <c r="N21" i="2"/>
  <c r="P21" i="2"/>
  <c r="R21" i="2"/>
  <c r="L23" i="2"/>
  <c r="M23" i="2"/>
  <c r="N23" i="2"/>
  <c r="O23" i="2"/>
  <c r="P23" i="2"/>
  <c r="Q23" i="2"/>
  <c r="R23" i="2"/>
  <c r="S23" i="2"/>
  <c r="M2" i="1" l="1"/>
  <c r="M5" i="1"/>
  <c r="M8" i="1"/>
  <c r="M11" i="1"/>
  <c r="M14" i="1"/>
  <c r="M17" i="1"/>
  <c r="M23" i="1"/>
  <c r="M26" i="1"/>
  <c r="M29" i="1"/>
  <c r="M32" i="1"/>
  <c r="M35" i="1"/>
  <c r="M38" i="1"/>
  <c r="M41" i="1"/>
  <c r="M44" i="1"/>
  <c r="M20" i="1"/>
  <c r="R32" i="1"/>
  <c r="N5" i="1"/>
  <c r="R2" i="1"/>
  <c r="N2" i="1"/>
  <c r="N38" i="1"/>
  <c r="O38" i="1"/>
  <c r="P38" i="1"/>
  <c r="Q38" i="1"/>
  <c r="R38" i="1"/>
  <c r="S38" i="1"/>
  <c r="T38" i="1"/>
  <c r="U38" i="1"/>
  <c r="N41" i="1"/>
  <c r="O41" i="1"/>
  <c r="P41" i="1"/>
  <c r="Q41" i="1"/>
  <c r="R41" i="1"/>
  <c r="S41" i="1"/>
  <c r="T41" i="1"/>
  <c r="U41" i="1"/>
  <c r="N44" i="1"/>
  <c r="O44" i="1"/>
  <c r="P44" i="1"/>
  <c r="Q44" i="1"/>
  <c r="R44" i="1"/>
  <c r="S44" i="1"/>
  <c r="T44" i="1"/>
  <c r="U44" i="1"/>
  <c r="U35" i="1"/>
  <c r="T35" i="1"/>
  <c r="S35" i="1"/>
  <c r="R35" i="1"/>
  <c r="Q35" i="1"/>
  <c r="P35" i="1"/>
  <c r="O35" i="1"/>
  <c r="N35" i="1"/>
  <c r="T32" i="1"/>
  <c r="Q32" i="1"/>
  <c r="P32" i="1"/>
  <c r="O32" i="1"/>
  <c r="N32" i="1"/>
  <c r="R29" i="1"/>
  <c r="P29" i="1"/>
  <c r="N29" i="1"/>
  <c r="N20" i="1"/>
  <c r="O20" i="1"/>
  <c r="P20" i="1"/>
  <c r="Q20" i="1"/>
  <c r="R20" i="1"/>
  <c r="S20" i="1"/>
  <c r="T20" i="1"/>
  <c r="U20" i="1"/>
  <c r="N23" i="1"/>
  <c r="O23" i="1"/>
  <c r="P23" i="1"/>
  <c r="Q23" i="1"/>
  <c r="R23" i="1"/>
  <c r="S23" i="1"/>
  <c r="T23" i="1"/>
  <c r="U23" i="1"/>
  <c r="N26" i="1"/>
  <c r="O26" i="1"/>
  <c r="P26" i="1"/>
  <c r="Q26" i="1"/>
  <c r="R26" i="1"/>
  <c r="S26" i="1"/>
  <c r="T26" i="1"/>
  <c r="U26" i="1"/>
  <c r="U17" i="1"/>
  <c r="T17" i="1"/>
  <c r="S17" i="1"/>
  <c r="R17" i="1"/>
  <c r="Q17" i="1"/>
  <c r="P17" i="1"/>
  <c r="O17" i="1"/>
  <c r="N17" i="1"/>
  <c r="N8" i="1"/>
  <c r="O8" i="1"/>
  <c r="P8" i="1"/>
  <c r="Q8" i="1"/>
  <c r="R8" i="1"/>
  <c r="S8" i="1"/>
  <c r="T8" i="1"/>
  <c r="U8" i="1"/>
  <c r="N11" i="1"/>
  <c r="O11" i="1"/>
  <c r="P11" i="1"/>
  <c r="Q11" i="1"/>
  <c r="R11" i="1"/>
  <c r="S11" i="1"/>
  <c r="T11" i="1"/>
  <c r="U11" i="1"/>
  <c r="N14" i="1"/>
  <c r="O14" i="1"/>
  <c r="P14" i="1"/>
  <c r="Q14" i="1"/>
  <c r="R14" i="1"/>
  <c r="S14" i="1"/>
  <c r="T14" i="1"/>
  <c r="U14" i="1"/>
  <c r="U5" i="1"/>
  <c r="T5" i="1"/>
  <c r="S5" i="1"/>
  <c r="R5" i="1"/>
  <c r="Q5" i="1"/>
  <c r="P5" i="1"/>
  <c r="O5" i="1"/>
</calcChain>
</file>

<file path=xl/sharedStrings.xml><?xml version="1.0" encoding="utf-8"?>
<sst xmlns="http://schemas.openxmlformats.org/spreadsheetml/2006/main" count="718" uniqueCount="288">
  <si>
    <t>700h</t>
  </si>
  <si>
    <t>Content</t>
  </si>
  <si>
    <t>Unit</t>
  </si>
  <si>
    <t>-</t>
  </si>
  <si>
    <t>Transform</t>
  </si>
  <si>
    <t>701h</t>
  </si>
  <si>
    <t>opState01</t>
  </si>
  <si>
    <t>opState02</t>
  </si>
  <si>
    <t>opState03</t>
  </si>
  <si>
    <t>opState04</t>
  </si>
  <si>
    <t>opState05</t>
  </si>
  <si>
    <t>opState06</t>
  </si>
  <si>
    <t>opState07</t>
  </si>
  <si>
    <t>opState08</t>
  </si>
  <si>
    <r>
      <t>Enumeration</t>
    </r>
    <r>
      <rPr>
        <vertAlign val="superscript"/>
        <sz val="8"/>
        <color theme="1"/>
        <rFont val="NeueHaasGroteskText Pro"/>
        <family val="2"/>
      </rPr>
      <t>(2)</t>
    </r>
  </si>
  <si>
    <t>702h</t>
  </si>
  <si>
    <t>opState09</t>
  </si>
  <si>
    <t>opState10</t>
  </si>
  <si>
    <t>opState11</t>
  </si>
  <si>
    <t>opState12</t>
  </si>
  <si>
    <t>opState13</t>
  </si>
  <si>
    <t>opState14</t>
  </si>
  <si>
    <t>opState15</t>
  </si>
  <si>
    <t>opState16</t>
  </si>
  <si>
    <t>703h</t>
  </si>
  <si>
    <t>opState17</t>
  </si>
  <si>
    <t>opState18</t>
  </si>
  <si>
    <t>opState19</t>
  </si>
  <si>
    <t>opState20</t>
  </si>
  <si>
    <t>opState21</t>
  </si>
  <si>
    <t>opState22</t>
  </si>
  <si>
    <t>opState23</t>
  </si>
  <si>
    <t>opState24</t>
  </si>
  <si>
    <t>704h</t>
  </si>
  <si>
    <t>opState25</t>
  </si>
  <si>
    <t>opState26</t>
  </si>
  <si>
    <t>opState27</t>
  </si>
  <si>
    <t>opState28</t>
  </si>
  <si>
    <t>opState29</t>
  </si>
  <si>
    <t>opState30</t>
  </si>
  <si>
    <t>opState31</t>
  </si>
  <si>
    <t>opState32</t>
  </si>
  <si>
    <t>705h</t>
  </si>
  <si>
    <t>current01</t>
  </si>
  <si>
    <t>current02</t>
  </si>
  <si>
    <t>current03</t>
  </si>
  <si>
    <t>current04</t>
  </si>
  <si>
    <t>current05</t>
  </si>
  <si>
    <t>current06</t>
  </si>
  <si>
    <t>current07</t>
  </si>
  <si>
    <t>current08</t>
  </si>
  <si>
    <t>Amps</t>
  </si>
  <si>
    <t>706h</t>
  </si>
  <si>
    <t>current09</t>
  </si>
  <si>
    <t>current10</t>
  </si>
  <si>
    <t>current11</t>
  </si>
  <si>
    <t>current12</t>
  </si>
  <si>
    <t>current13</t>
  </si>
  <si>
    <t>current14</t>
  </si>
  <si>
    <t>current15</t>
  </si>
  <si>
    <t>current16</t>
  </si>
  <si>
    <t>707h</t>
  </si>
  <si>
    <t>current17</t>
  </si>
  <si>
    <t>current18</t>
  </si>
  <si>
    <t>current19</t>
  </si>
  <si>
    <t>current20</t>
  </si>
  <si>
    <t>current21</t>
  </si>
  <si>
    <t>current22</t>
  </si>
  <si>
    <t>current23</t>
  </si>
  <si>
    <t>current24</t>
  </si>
  <si>
    <t>708h</t>
  </si>
  <si>
    <t>current25</t>
  </si>
  <si>
    <t>current26</t>
  </si>
  <si>
    <t>current27</t>
  </si>
  <si>
    <t>current28</t>
  </si>
  <si>
    <t>current29</t>
  </si>
  <si>
    <t>current30</t>
  </si>
  <si>
    <t>current31</t>
  </si>
  <si>
    <t>current32</t>
  </si>
  <si>
    <t>709h</t>
  </si>
  <si>
    <t>onTime</t>
  </si>
  <si>
    <t>degC</t>
  </si>
  <si>
    <t>Volts</t>
  </si>
  <si>
    <t>Seconds</t>
  </si>
  <si>
    <t>70Ah</t>
  </si>
  <si>
    <t>totalCurrent</t>
  </si>
  <si>
    <r>
      <t>Flags</t>
    </r>
    <r>
      <rPr>
        <vertAlign val="superscript"/>
        <sz val="9"/>
        <color theme="1"/>
        <rFont val="NeueHaasGroteskText Pro"/>
        <family val="2"/>
      </rPr>
      <t>(3)</t>
    </r>
  </si>
  <si>
    <t>SPARE</t>
  </si>
  <si>
    <t>None</t>
  </si>
  <si>
    <t>70Bh</t>
  </si>
  <si>
    <t>opState33</t>
  </si>
  <si>
    <t>current33</t>
  </si>
  <si>
    <t>opState34</t>
  </si>
  <si>
    <t>current34</t>
  </si>
  <si>
    <t>opState35</t>
  </si>
  <si>
    <t>current35</t>
  </si>
  <si>
    <t>opState36</t>
  </si>
  <si>
    <t>current36</t>
  </si>
  <si>
    <t>70Ch</t>
  </si>
  <si>
    <t>opState37</t>
  </si>
  <si>
    <t>current37</t>
  </si>
  <si>
    <t>opState38</t>
  </si>
  <si>
    <t>current38</t>
  </si>
  <si>
    <t>opState39</t>
  </si>
  <si>
    <t>current39</t>
  </si>
  <si>
    <t>opState40</t>
  </si>
  <si>
    <t>current40</t>
  </si>
  <si>
    <t>70Dh</t>
  </si>
  <si>
    <t>opState41</t>
  </si>
  <si>
    <t>current41</t>
  </si>
  <si>
    <t>opState42</t>
  </si>
  <si>
    <t>current42</t>
  </si>
  <si>
    <t>opState43</t>
  </si>
  <si>
    <t>current43</t>
  </si>
  <si>
    <t>opState44</t>
  </si>
  <si>
    <t>current44</t>
  </si>
  <si>
    <t>70Eh</t>
  </si>
  <si>
    <t>opState45</t>
  </si>
  <si>
    <t>current45</t>
  </si>
  <si>
    <t>opState46</t>
  </si>
  <si>
    <t>current46</t>
  </si>
  <si>
    <t>opState47</t>
  </si>
  <si>
    <t>current47</t>
  </si>
  <si>
    <t>opState48</t>
  </si>
  <si>
    <t>current48</t>
  </si>
  <si>
    <t xml:space="preserve"> </t>
  </si>
  <si>
    <t>Frame_10</t>
  </si>
  <si>
    <t>Frame_11</t>
  </si>
  <si>
    <t>Frame_12</t>
  </si>
  <si>
    <t>Frame_13</t>
  </si>
  <si>
    <t>Frame_14</t>
  </si>
  <si>
    <t>Frame_15</t>
  </si>
  <si>
    <t>Byte_1</t>
  </si>
  <si>
    <t>Byte_2</t>
  </si>
  <si>
    <t>Byte_3</t>
  </si>
  <si>
    <t>Byte_4</t>
  </si>
  <si>
    <t>Byte_5</t>
  </si>
  <si>
    <t>Byte_6</t>
  </si>
  <si>
    <t>Byte_7</t>
  </si>
  <si>
    <t>Byte_8</t>
  </si>
  <si>
    <t>Hard_Input_States</t>
  </si>
  <si>
    <t>Soft_Input_States</t>
  </si>
  <si>
    <t>Bit_Flags(1)</t>
  </si>
  <si>
    <t>Enumeration(2)_</t>
  </si>
  <si>
    <t>Divide_by_2</t>
  </si>
  <si>
    <t>Board_Temperature</t>
  </si>
  <si>
    <t>Battery_Voltage</t>
  </si>
  <si>
    <t>Divide_by_10</t>
  </si>
  <si>
    <t>Divide_by_1000</t>
  </si>
  <si>
    <t>Divide_by_100</t>
  </si>
  <si>
    <t>An_01_Voltage</t>
  </si>
  <si>
    <t>An_02___Voltage</t>
  </si>
  <si>
    <t>An_03___Voltage</t>
  </si>
  <si>
    <t>An04____Voltage</t>
  </si>
  <si>
    <t>Divide_by_5</t>
  </si>
  <si>
    <t>Bit_Flags</t>
  </si>
  <si>
    <t>Frame_01</t>
  </si>
  <si>
    <t>Frame_02</t>
  </si>
  <si>
    <t>Frame_03</t>
  </si>
  <si>
    <t>Frame_04</t>
  </si>
  <si>
    <t>Frame_05</t>
  </si>
  <si>
    <t>Frame_06</t>
  </si>
  <si>
    <t>Frame_07</t>
  </si>
  <si>
    <t>Frame_08</t>
  </si>
  <si>
    <t>Frame_09</t>
  </si>
  <si>
    <t>Slot 1</t>
  </si>
  <si>
    <t>Slot 2</t>
  </si>
  <si>
    <t>Slot 3</t>
  </si>
  <si>
    <t>Slot 4</t>
  </si>
  <si>
    <t>Byte 1</t>
  </si>
  <si>
    <t>Byte 2</t>
  </si>
  <si>
    <t>Byte 3</t>
  </si>
  <si>
    <t>Byte 4</t>
  </si>
  <si>
    <t>Byte 5</t>
  </si>
  <si>
    <t>Byte 6</t>
  </si>
  <si>
    <t>Byte 7</t>
  </si>
  <si>
    <t>Byte 8</t>
  </si>
  <si>
    <t>600h</t>
  </si>
  <si>
    <t>50Hz</t>
  </si>
  <si>
    <t>rpm_S</t>
  </si>
  <si>
    <t>Vbat_S</t>
  </si>
  <si>
    <t>longG_S</t>
  </si>
  <si>
    <t>rpm</t>
  </si>
  <si>
    <t>%</t>
  </si>
  <si>
    <t>V</t>
  </si>
  <si>
    <t>G</t>
  </si>
  <si>
    <t>601h</t>
  </si>
  <si>
    <t>prp1_S</t>
  </si>
  <si>
    <t>turboSpeed1DeSpiked_S</t>
  </si>
  <si>
    <t>mBar</t>
  </si>
  <si>
    <t>kRpm</t>
  </si>
  <si>
    <t>602h</t>
  </si>
  <si>
    <t>prp2_S</t>
  </si>
  <si>
    <r>
      <t>turboSpeed2DeSpiked</t>
    </r>
    <r>
      <rPr>
        <sz val="10"/>
        <color theme="1"/>
        <rFont val="NeueHaasGroteskText Pro"/>
        <family val="2"/>
      </rPr>
      <t>_S</t>
    </r>
  </si>
  <si>
    <t>603h</t>
  </si>
  <si>
    <t>10Hz</t>
  </si>
  <si>
    <t>relFp1_S</t>
  </si>
  <si>
    <t>lam1_S</t>
  </si>
  <si>
    <t>fuelMltCll1_S</t>
  </si>
  <si>
    <t>lambda</t>
  </si>
  <si>
    <t>604h</t>
  </si>
  <si>
    <t>relFp2_S</t>
  </si>
  <si>
    <t>lam2_S</t>
  </si>
  <si>
    <t>fuelMltCll2_S</t>
  </si>
  <si>
    <t>605h</t>
  </si>
  <si>
    <t>5Hz</t>
  </si>
  <si>
    <t>act1_S</t>
  </si>
  <si>
    <t>ect1_S</t>
  </si>
  <si>
    <t>egt1_S</t>
  </si>
  <si>
    <t>606h</t>
  </si>
  <si>
    <t>act2_S</t>
  </si>
  <si>
    <t>ect2_S</t>
  </si>
  <si>
    <t>egt2_S</t>
  </si>
  <si>
    <t>607h</t>
  </si>
  <si>
    <t>ccp1_S</t>
  </si>
  <si>
    <t>ccp2_S</t>
  </si>
  <si>
    <t>ccp3_S</t>
  </si>
  <si>
    <t>ccp4_S</t>
  </si>
  <si>
    <t>608h</t>
  </si>
  <si>
    <t>eop1_S</t>
  </si>
  <si>
    <t>eop2_S</t>
  </si>
  <si>
    <t>eop3_S</t>
  </si>
  <si>
    <t>eop4_S</t>
  </si>
  <si>
    <t>609h</t>
  </si>
  <si>
    <t>eot_S</t>
  </si>
  <si>
    <t>ft1_S</t>
  </si>
  <si>
    <t>ecp_S</t>
  </si>
  <si>
    <t>bap_S</t>
  </si>
  <si>
    <t>60Ah</t>
  </si>
  <si>
    <t>engineEnable_U</t>
  </si>
  <si>
    <t>calSelect_U</t>
  </si>
  <si>
    <t>tcSelect_U</t>
  </si>
  <si>
    <t>pitSwitch_U</t>
  </si>
  <si>
    <t>1x+0</t>
  </si>
  <si>
    <t>0.012207x+0</t>
  </si>
  <si>
    <t>0.01x+0</t>
  </si>
  <si>
    <t>0.001x+0</t>
  </si>
  <si>
    <t>0.000244x+0</t>
  </si>
  <si>
    <t>0.1x+0</t>
  </si>
  <si>
    <t>1x+1</t>
  </si>
  <si>
    <t>enum</t>
  </si>
  <si>
    <t>60Bh</t>
  </si>
  <si>
    <t>clutchSwitch_U</t>
  </si>
  <si>
    <t>manAutoSwitch_U</t>
  </si>
  <si>
    <t>wow_U</t>
  </si>
  <si>
    <t>autoStartDate_U</t>
  </si>
  <si>
    <t>60Ch</t>
  </si>
  <si>
    <t>fuelConsVolLR_U</t>
  </si>
  <si>
    <t>sensorSwitch_U</t>
  </si>
  <si>
    <t>alsState_U</t>
  </si>
  <si>
    <r>
      <t>wgcStrategyActive</t>
    </r>
    <r>
      <rPr>
        <sz val="10"/>
        <color theme="1"/>
        <rFont val="NeueHaasGroteskText Pro"/>
        <family val="2"/>
      </rPr>
      <t>_U</t>
    </r>
  </si>
  <si>
    <t>Litres</t>
  </si>
  <si>
    <t>60Dh</t>
  </si>
  <si>
    <r>
      <t>gearCutDogKickCount</t>
    </r>
    <r>
      <rPr>
        <sz val="10"/>
        <color theme="1"/>
        <rFont val="NeueHaasGroteskText Pro"/>
        <family val="2"/>
      </rPr>
      <t>_U</t>
    </r>
  </si>
  <si>
    <t>gearCutFailCount_U</t>
  </si>
  <si>
    <t>dbwStatus_U</t>
  </si>
  <si>
    <t>knockStatus_U</t>
  </si>
  <si>
    <t>60Eh</t>
  </si>
  <si>
    <t>gear_S</t>
  </si>
  <si>
    <t>paddleSwitch_U</t>
  </si>
  <si>
    <t>gsp_S</t>
  </si>
  <si>
    <t>60Fh</t>
  </si>
  <si>
    <t>flSpeed_S</t>
  </si>
  <si>
    <t>frSpeed_S</t>
  </si>
  <si>
    <t>rlSpeed_S</t>
  </si>
  <si>
    <t>rrSpeed_S</t>
  </si>
  <si>
    <t>kph</t>
  </si>
  <si>
    <t>610h</t>
  </si>
  <si>
    <t>swa_S</t>
  </si>
  <si>
    <t>latG_S</t>
  </si>
  <si>
    <t>vehicleSpeed_S</t>
  </si>
  <si>
    <t>drivenSpeed_S</t>
  </si>
  <si>
    <t>deg</t>
  </si>
  <si>
    <t>611h</t>
  </si>
  <si>
    <t>wheelSpin_S</t>
  </si>
  <si>
    <t>tcSpinTarg_S</t>
  </si>
  <si>
    <t>tcSpinErr_S</t>
  </si>
  <si>
    <t>tcTrq_S</t>
  </si>
  <si>
    <t>0.036x+0</t>
  </si>
  <si>
    <t>0.03125x+0</t>
  </si>
  <si>
    <t>0.09765625x+0</t>
  </si>
  <si>
    <t>Frame_16</t>
  </si>
  <si>
    <t>Frame_17</t>
  </si>
  <si>
    <t>Frame_18</t>
  </si>
  <si>
    <t>ppsDriver_S</t>
  </si>
  <si>
    <t>map1_S</t>
  </si>
  <si>
    <t>map2_S</t>
  </si>
  <si>
    <t>gearVF_U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</si>
</sst>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NeueHaasGroteskText Pro"/>
      <family val="2"/>
    </font>
    <font>
      <b/>
      <sz val="12"/>
      <color theme="1"/>
      <name val="NeueHaasGroteskText Pro"/>
      <family val="2"/>
    </font>
    <font>
      <b/>
      <sz val="9"/>
      <color theme="1"/>
      <name val="NeueHaasGroteskText Pro"/>
      <family val="2"/>
    </font>
    <font>
      <sz val="10"/>
      <color theme="1"/>
      <name val="NeueHaasGroteskText Pro"/>
      <family val="2"/>
    </font>
    <font>
      <sz val="9"/>
      <color theme="1"/>
      <name val="NeueHaasGroteskText Pro"/>
      <family val="2"/>
    </font>
    <font>
      <vertAlign val="superscript"/>
      <sz val="9"/>
      <color theme="1"/>
      <name val="NeueHaasGroteskText Pro"/>
      <family val="2"/>
    </font>
    <font>
      <sz val="8"/>
      <color theme="1"/>
      <name val="NeueHaasGroteskText Pro"/>
      <family val="2"/>
    </font>
    <font>
      <vertAlign val="superscript"/>
      <sz val="8"/>
      <color theme="1"/>
      <name val="NeueHaasGroteskTex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</fills>
  <borders count="23">
    <border>
      <left/>
      <right/>
      <top/>
      <bottom/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/>
      <right/>
      <top/>
      <bottom style="medium">
        <color rgb="FFD9D9D9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/>
      <right style="medium">
        <color rgb="FFDDDDDD"/>
      </right>
      <top/>
      <bottom/>
      <diagonal/>
    </border>
    <border>
      <left/>
      <right/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DDDDD"/>
      </bottom>
      <diagonal/>
    </border>
    <border>
      <left/>
      <right style="medium">
        <color rgb="FFD9D9D9"/>
      </right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 style="medium">
        <color rgb="FFD9D9D9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3" fillId="0" borderId="15" xfId="0" applyFont="1" applyBorder="1" applyAlignment="1">
      <alignment horizontal="right" vertical="center" wrapText="1"/>
    </xf>
    <xf numFmtId="0" fontId="0" fillId="0" borderId="14" xfId="0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workbookViewId="0">
      <selection activeCell="M5" sqref="M5"/>
    </sheetView>
  </sheetViews>
  <sheetFormatPr defaultRowHeight="15" x14ac:dyDescent="0.25"/>
  <cols>
    <col min="13" max="13" width="29.85546875" bestFit="1" customWidth="1"/>
    <col min="14" max="14" width="44.85546875" bestFit="1" customWidth="1"/>
    <col min="15" max="15" width="38.85546875" bestFit="1" customWidth="1"/>
    <col min="16" max="16" width="44.7109375" bestFit="1" customWidth="1"/>
    <col min="17" max="17" width="38.85546875" bestFit="1" customWidth="1"/>
    <col min="18" max="18" width="44.28515625" bestFit="1" customWidth="1"/>
    <col min="19" max="21" width="37.140625" bestFit="1" customWidth="1"/>
  </cols>
  <sheetData>
    <row r="1" spans="1:21" ht="16.5" thickBot="1" x14ac:dyDescent="0.3">
      <c r="A1" s="33"/>
      <c r="B1" s="34"/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</row>
    <row r="2" spans="1:21" ht="15.75" thickBot="1" x14ac:dyDescent="0.3">
      <c r="A2" s="2" t="s">
        <v>156</v>
      </c>
      <c r="B2" s="4" t="s">
        <v>1</v>
      </c>
      <c r="C2" s="26" t="s">
        <v>140</v>
      </c>
      <c r="D2" s="28"/>
      <c r="E2" s="28"/>
      <c r="F2" s="27"/>
      <c r="G2" s="26" t="s">
        <v>141</v>
      </c>
      <c r="H2" s="28"/>
      <c r="I2" s="28"/>
      <c r="J2" s="27"/>
      <c r="M2" t="str">
        <f t="shared" ref="M2" si="0">"BO_ " &amp; HEX2DEC(LEFT(A3,3)) &amp; " " &amp; A2 &amp; " :8 LR_PDUx4"</f>
        <v>BO_ 1792 Frame_01 :8 LR_PDUx4</v>
      </c>
      <c r="N2" t="str">
        <f xml:space="preserve">
" SG_ " &amp; C2 &amp; " : 7|32@0+ (1,0) [0|4294967295] """""</f>
        <v xml:space="preserve"> SG_ Hard_Input_States : 7|32@0+ (1,0) [0|4294967295] ""</v>
      </c>
      <c r="R2" t="str">
        <f xml:space="preserve">
" SG_ " &amp; G2 &amp; " : 39|32@0+ (1,0) [0|4294967295] """""</f>
        <v xml:space="preserve"> SG_ Soft_Input_States : 39|32@0+ (1,0) [0|4294967295] ""</v>
      </c>
    </row>
    <row r="3" spans="1:21" ht="15.75" thickBot="1" x14ac:dyDescent="0.3">
      <c r="A3" s="2" t="s">
        <v>0</v>
      </c>
      <c r="B3" s="4" t="s">
        <v>2</v>
      </c>
      <c r="C3" s="29" t="s">
        <v>3</v>
      </c>
      <c r="D3" s="31"/>
      <c r="E3" s="31"/>
      <c r="F3" s="30"/>
      <c r="G3" s="29" t="s">
        <v>3</v>
      </c>
      <c r="H3" s="31"/>
      <c r="I3" s="31"/>
      <c r="J3" s="30"/>
    </row>
    <row r="4" spans="1:21" ht="26.25" thickBot="1" x14ac:dyDescent="0.3">
      <c r="A4" s="3"/>
      <c r="B4" s="4" t="s">
        <v>4</v>
      </c>
      <c r="C4" s="24" t="s">
        <v>142</v>
      </c>
      <c r="D4" s="32"/>
      <c r="E4" s="32"/>
      <c r="F4" s="25"/>
      <c r="G4" s="24" t="s">
        <v>142</v>
      </c>
      <c r="H4" s="32"/>
      <c r="I4" s="32"/>
      <c r="J4" s="25"/>
    </row>
    <row r="5" spans="1:21" ht="24.75" thickBot="1" x14ac:dyDescent="0.3">
      <c r="A5" s="2" t="s">
        <v>157</v>
      </c>
      <c r="B5" s="4" t="s">
        <v>1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5" t="s">
        <v>13</v>
      </c>
      <c r="L5" s="18" t="s">
        <v>125</v>
      </c>
      <c r="M5" t="str">
        <f t="shared" ref="M5" si="1">"BO_ " &amp; HEX2DEC(LEFT(A6,3)) &amp; " " &amp; A5 &amp; " :8 LR_PDUx4"</f>
        <v>BO_ 1793 Frame_02 :8 LR_PDUx4</v>
      </c>
      <c r="N5" t="str">
        <f>" SG_ "&amp;C5&amp;" : 7|8@0+ (1,0) [0|255] """""</f>
        <v xml:space="preserve"> SG_ opState01 : 7|8@0+ (1,0) [0|255] ""</v>
      </c>
      <c r="O5" t="str">
        <f>" SG_ " &amp; D5 &amp; " : 15|8@0+ (1,0) [0|255] """""</f>
        <v xml:space="preserve"> SG_ opState02 : 15|8@0+ (1,0) [0|255] ""</v>
      </c>
      <c r="P5" t="str">
        <f>" SG_ " &amp; E5 &amp; " : 23|8@0+ (1,0) [0|255] """""</f>
        <v xml:space="preserve"> SG_ opState03 : 23|8@0+ (1,0) [0|255] ""</v>
      </c>
      <c r="Q5" t="str">
        <f>" SG_ " &amp; F5 &amp; " : 31|8@0+ (1,0) [0|255] """""</f>
        <v xml:space="preserve"> SG_ opState04 : 31|8@0+ (1,0) [0|255] ""</v>
      </c>
      <c r="R5" t="str">
        <f>" SG_ " &amp; G5 &amp; " : 39|8@0+ (1,0) [0|255] """""</f>
        <v xml:space="preserve"> SG_ opState05 : 39|8@0+ (1,0) [0|255] ""</v>
      </c>
      <c r="S5" t="str">
        <f>" SG_ " &amp; H5 &amp; " : 47|8@0+ (1,0) [0|255] """""</f>
        <v xml:space="preserve"> SG_ opState06 : 47|8@0+ (1,0) [0|255] ""</v>
      </c>
      <c r="T5" t="str">
        <f>" SG_ " &amp; I5 &amp; " : 55|8@0+ (1,0) [0|255] """""</f>
        <v xml:space="preserve"> SG_ opState07 : 55|8@0+ (1,0) [0|255] ""</v>
      </c>
      <c r="U5" t="str">
        <f>" SG_ " &amp; J5 &amp; " : 63|8@0+ (1,0) [0|255] """""</f>
        <v xml:space="preserve"> SG_ opState08 : 63|8@0+ (1,0) [0|255] ""</v>
      </c>
    </row>
    <row r="6" spans="1:21" ht="15.75" thickBot="1" x14ac:dyDescent="0.3">
      <c r="A6" s="2" t="s">
        <v>5</v>
      </c>
      <c r="B6" s="4" t="s">
        <v>2</v>
      </c>
      <c r="C6" s="5" t="s">
        <v>3</v>
      </c>
      <c r="D6" s="5" t="s">
        <v>3</v>
      </c>
      <c r="E6" s="5" t="s">
        <v>3</v>
      </c>
      <c r="F6" s="5" t="s">
        <v>3</v>
      </c>
      <c r="G6" s="5" t="s">
        <v>3</v>
      </c>
      <c r="H6" s="5" t="s">
        <v>3</v>
      </c>
      <c r="I6" s="5" t="s">
        <v>3</v>
      </c>
      <c r="J6" s="5" t="s">
        <v>3</v>
      </c>
    </row>
    <row r="7" spans="1:21" ht="26.25" thickBot="1" x14ac:dyDescent="0.3">
      <c r="A7" s="3"/>
      <c r="B7" s="4" t="s">
        <v>4</v>
      </c>
      <c r="C7" s="6" t="s">
        <v>143</v>
      </c>
      <c r="D7" s="6" t="s">
        <v>14</v>
      </c>
      <c r="E7" s="6" t="s">
        <v>14</v>
      </c>
      <c r="F7" s="6" t="s">
        <v>14</v>
      </c>
      <c r="G7" s="6" t="s">
        <v>14</v>
      </c>
      <c r="H7" s="6" t="s">
        <v>14</v>
      </c>
      <c r="I7" s="6" t="s">
        <v>14</v>
      </c>
      <c r="J7" s="6" t="s">
        <v>14</v>
      </c>
    </row>
    <row r="8" spans="1:21" ht="24.75" thickBot="1" x14ac:dyDescent="0.3">
      <c r="A8" s="2" t="s">
        <v>158</v>
      </c>
      <c r="B8" s="8" t="s">
        <v>1</v>
      </c>
      <c r="C8" s="5" t="s">
        <v>16</v>
      </c>
      <c r="D8" s="5" t="s">
        <v>17</v>
      </c>
      <c r="E8" s="5" t="s">
        <v>18</v>
      </c>
      <c r="F8" s="5" t="s">
        <v>19</v>
      </c>
      <c r="G8" s="5" t="s">
        <v>20</v>
      </c>
      <c r="H8" s="5" t="s">
        <v>21</v>
      </c>
      <c r="I8" s="5" t="s">
        <v>22</v>
      </c>
      <c r="J8" s="9" t="s">
        <v>23</v>
      </c>
      <c r="M8" t="str">
        <f t="shared" ref="M8" si="2">"BO_ " &amp; HEX2DEC(LEFT(A9,3)) &amp; " " &amp; A8 &amp; " :8 LR_PDUx4"</f>
        <v>BO_ 1794 Frame_03 :8 LR_PDUx4</v>
      </c>
      <c r="N8" t="str">
        <f t="shared" ref="N8" si="3">" SG_ "&amp;C8&amp;" : 7|8@0+ (1,0) [0|255] """""</f>
        <v xml:space="preserve"> SG_ opState09 : 7|8@0+ (1,0) [0|255] ""</v>
      </c>
      <c r="O8" t="str">
        <f t="shared" ref="O8" si="4">" SG_ " &amp; D8 &amp; " : 15|8@0+ (1,0) [0|255] """""</f>
        <v xml:space="preserve"> SG_ opState10 : 15|8@0+ (1,0) [0|255] ""</v>
      </c>
      <c r="P8" t="str">
        <f t="shared" ref="P8" si="5">" SG_ " &amp; E8 &amp; " : 23|8@0+ (1,0) [0|255] """""</f>
        <v xml:space="preserve"> SG_ opState11 : 23|8@0+ (1,0) [0|255] ""</v>
      </c>
      <c r="Q8" t="str">
        <f t="shared" ref="Q8" si="6">" SG_ " &amp; F8 &amp; " : 31|8@0+ (1,0) [0|255] """""</f>
        <v xml:space="preserve"> SG_ opState12 : 31|8@0+ (1,0) [0|255] ""</v>
      </c>
      <c r="R8" t="str">
        <f t="shared" ref="R8" si="7">" SG_ " &amp; G8 &amp; " : 39|8@0+ (1,0) [0|255] """""</f>
        <v xml:space="preserve"> SG_ opState13 : 39|8@0+ (1,0) [0|255] ""</v>
      </c>
      <c r="S8" t="str">
        <f t="shared" ref="S8" si="8">" SG_ " &amp; H8 &amp; " : 47|8@0+ (1,0) [0|255] """""</f>
        <v xml:space="preserve"> SG_ opState14 : 47|8@0+ (1,0) [0|255] ""</v>
      </c>
      <c r="T8" t="str">
        <f t="shared" ref="T8" si="9">" SG_ " &amp; I8 &amp; " : 55|8@0+ (1,0) [0|255] """""</f>
        <v xml:space="preserve"> SG_ opState15 : 55|8@0+ (1,0) [0|255] ""</v>
      </c>
      <c r="U8" t="str">
        <f t="shared" ref="U8" si="10">" SG_ " &amp; J8 &amp; " : 63|8@0+ (1,0) [0|255] """""</f>
        <v xml:space="preserve"> SG_ opState16 : 63|8@0+ (1,0) [0|255] ""</v>
      </c>
    </row>
    <row r="9" spans="1:21" ht="15.75" thickBot="1" x14ac:dyDescent="0.3">
      <c r="A9" s="2" t="s">
        <v>15</v>
      </c>
      <c r="B9" s="8" t="s">
        <v>2</v>
      </c>
      <c r="C9" s="5" t="s">
        <v>3</v>
      </c>
      <c r="D9" s="5" t="s">
        <v>3</v>
      </c>
      <c r="E9" s="5" t="s">
        <v>3</v>
      </c>
      <c r="F9" s="5" t="s">
        <v>3</v>
      </c>
      <c r="G9" s="5" t="s">
        <v>3</v>
      </c>
      <c r="H9" s="5" t="s">
        <v>3</v>
      </c>
      <c r="I9" s="5" t="s">
        <v>3</v>
      </c>
      <c r="J9" s="9" t="s">
        <v>3</v>
      </c>
    </row>
    <row r="10" spans="1:21" ht="26.25" thickBot="1" x14ac:dyDescent="0.3">
      <c r="A10" s="7"/>
      <c r="B10" s="8" t="s">
        <v>4</v>
      </c>
      <c r="C10" s="6" t="s">
        <v>143</v>
      </c>
      <c r="D10" s="6" t="s">
        <v>14</v>
      </c>
      <c r="E10" s="6" t="s">
        <v>14</v>
      </c>
      <c r="F10" s="6" t="s">
        <v>14</v>
      </c>
      <c r="G10" s="6" t="s">
        <v>14</v>
      </c>
      <c r="H10" s="6" t="s">
        <v>14</v>
      </c>
      <c r="I10" s="6" t="s">
        <v>14</v>
      </c>
      <c r="J10" s="10" t="s">
        <v>14</v>
      </c>
    </row>
    <row r="11" spans="1:21" ht="24.75" thickBot="1" x14ac:dyDescent="0.3">
      <c r="A11" s="11" t="s">
        <v>159</v>
      </c>
      <c r="B11" s="8" t="s">
        <v>1</v>
      </c>
      <c r="C11" s="9" t="s">
        <v>25</v>
      </c>
      <c r="D11" s="9" t="s">
        <v>26</v>
      </c>
      <c r="E11" s="9" t="s">
        <v>27</v>
      </c>
      <c r="F11" s="9" t="s">
        <v>28</v>
      </c>
      <c r="G11" s="9" t="s">
        <v>29</v>
      </c>
      <c r="H11" s="9" t="s">
        <v>30</v>
      </c>
      <c r="I11" s="9" t="s">
        <v>31</v>
      </c>
      <c r="J11" s="9" t="s">
        <v>32</v>
      </c>
      <c r="M11" t="str">
        <f t="shared" ref="M11" si="11">"BO_ " &amp; HEX2DEC(LEFT(A12,3)) &amp; " " &amp; A11 &amp; " :8 LR_PDUx4"</f>
        <v>BO_ 1795 Frame_04 :8 LR_PDUx4</v>
      </c>
      <c r="N11" t="str">
        <f t="shared" ref="N11" si="12">" SG_ "&amp;C11&amp;" : 7|8@0+ (1,0) [0|255] """""</f>
        <v xml:space="preserve"> SG_ opState17 : 7|8@0+ (1,0) [0|255] ""</v>
      </c>
      <c r="O11" t="str">
        <f t="shared" ref="O11" si="13">" SG_ " &amp; D11 &amp; " : 15|8@0+ (1,0) [0|255] """""</f>
        <v xml:space="preserve"> SG_ opState18 : 15|8@0+ (1,0) [0|255] ""</v>
      </c>
      <c r="P11" t="str">
        <f t="shared" ref="P11" si="14">" SG_ " &amp; E11 &amp; " : 23|8@0+ (1,0) [0|255] """""</f>
        <v xml:space="preserve"> SG_ opState19 : 23|8@0+ (1,0) [0|255] ""</v>
      </c>
      <c r="Q11" t="str">
        <f t="shared" ref="Q11" si="15">" SG_ " &amp; F11 &amp; " : 31|8@0+ (1,0) [0|255] """""</f>
        <v xml:space="preserve"> SG_ opState20 : 31|8@0+ (1,0) [0|255] ""</v>
      </c>
      <c r="R11" t="str">
        <f t="shared" ref="R11" si="16">" SG_ " &amp; G11 &amp; " : 39|8@0+ (1,0) [0|255] """""</f>
        <v xml:space="preserve"> SG_ opState21 : 39|8@0+ (1,0) [0|255] ""</v>
      </c>
      <c r="S11" t="str">
        <f t="shared" ref="S11" si="17">" SG_ " &amp; H11 &amp; " : 47|8@0+ (1,0) [0|255] """""</f>
        <v xml:space="preserve"> SG_ opState22 : 47|8@0+ (1,0) [0|255] ""</v>
      </c>
      <c r="T11" t="str">
        <f t="shared" ref="T11" si="18">" SG_ " &amp; I11 &amp; " : 55|8@0+ (1,0) [0|255] """""</f>
        <v xml:space="preserve"> SG_ opState23 : 55|8@0+ (1,0) [0|255] ""</v>
      </c>
      <c r="U11" t="str">
        <f t="shared" ref="U11" si="19">" SG_ " &amp; J11 &amp; " : 63|8@0+ (1,0) [0|255] """""</f>
        <v xml:space="preserve"> SG_ opState24 : 63|8@0+ (1,0) [0|255] ""</v>
      </c>
    </row>
    <row r="12" spans="1:21" ht="15.75" thickBot="1" x14ac:dyDescent="0.3">
      <c r="A12" s="2" t="s">
        <v>24</v>
      </c>
      <c r="B12" s="8" t="s">
        <v>2</v>
      </c>
      <c r="C12" s="9" t="s">
        <v>3</v>
      </c>
      <c r="D12" s="9" t="s">
        <v>3</v>
      </c>
      <c r="E12" s="9" t="s">
        <v>3</v>
      </c>
      <c r="F12" s="9" t="s">
        <v>3</v>
      </c>
      <c r="G12" s="9" t="s">
        <v>3</v>
      </c>
      <c r="H12" s="9" t="s">
        <v>3</v>
      </c>
      <c r="I12" s="9" t="s">
        <v>3</v>
      </c>
      <c r="J12" s="9" t="s">
        <v>3</v>
      </c>
    </row>
    <row r="13" spans="1:21" ht="26.25" thickBot="1" x14ac:dyDescent="0.3">
      <c r="A13" s="3"/>
      <c r="B13" s="8" t="s">
        <v>4</v>
      </c>
      <c r="C13" s="10" t="s">
        <v>143</v>
      </c>
      <c r="D13" s="10" t="s">
        <v>14</v>
      </c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</row>
    <row r="14" spans="1:21" ht="24.75" thickBot="1" x14ac:dyDescent="0.3">
      <c r="A14" s="2" t="s">
        <v>160</v>
      </c>
      <c r="B14" s="4" t="s">
        <v>1</v>
      </c>
      <c r="C14" s="5" t="s">
        <v>34</v>
      </c>
      <c r="D14" s="5" t="s">
        <v>35</v>
      </c>
      <c r="E14" s="5" t="s">
        <v>36</v>
      </c>
      <c r="F14" s="5" t="s">
        <v>37</v>
      </c>
      <c r="G14" s="5" t="s">
        <v>38</v>
      </c>
      <c r="H14" s="5" t="s">
        <v>39</v>
      </c>
      <c r="I14" s="5" t="s">
        <v>40</v>
      </c>
      <c r="J14" s="5" t="s">
        <v>41</v>
      </c>
      <c r="M14" t="str">
        <f t="shared" ref="M14" si="20">"BO_ " &amp; HEX2DEC(LEFT(A15,3)) &amp; " " &amp; A14 &amp; " :8 LR_PDUx4"</f>
        <v>BO_ 1796 Frame_05 :8 LR_PDUx4</v>
      </c>
      <c r="N14" t="str">
        <f t="shared" ref="N14" si="21">" SG_ "&amp;C14&amp;" : 7|8@0+ (1,0) [0|255] """""</f>
        <v xml:space="preserve"> SG_ opState25 : 7|8@0+ (1,0) [0|255] ""</v>
      </c>
      <c r="O14" t="str">
        <f t="shared" ref="O14" si="22">" SG_ " &amp; D14 &amp; " : 15|8@0+ (1,0) [0|255] """""</f>
        <v xml:space="preserve"> SG_ opState26 : 15|8@0+ (1,0) [0|255] ""</v>
      </c>
      <c r="P14" t="str">
        <f t="shared" ref="P14" si="23">" SG_ " &amp; E14 &amp; " : 23|8@0+ (1,0) [0|255] """""</f>
        <v xml:space="preserve"> SG_ opState27 : 23|8@0+ (1,0) [0|255] ""</v>
      </c>
      <c r="Q14" t="str">
        <f t="shared" ref="Q14" si="24">" SG_ " &amp; F14 &amp; " : 31|8@0+ (1,0) [0|255] """""</f>
        <v xml:space="preserve"> SG_ opState28 : 31|8@0+ (1,0) [0|255] ""</v>
      </c>
      <c r="R14" t="str">
        <f t="shared" ref="R14" si="25">" SG_ " &amp; G14 &amp; " : 39|8@0+ (1,0) [0|255] """""</f>
        <v xml:space="preserve"> SG_ opState29 : 39|8@0+ (1,0) [0|255] ""</v>
      </c>
      <c r="S14" t="str">
        <f t="shared" ref="S14" si="26">" SG_ " &amp; H14 &amp; " : 47|8@0+ (1,0) [0|255] """""</f>
        <v xml:space="preserve"> SG_ opState30 : 47|8@0+ (1,0) [0|255] ""</v>
      </c>
      <c r="T14" t="str">
        <f t="shared" ref="T14" si="27">" SG_ " &amp; I14 &amp; " : 55|8@0+ (1,0) [0|255] """""</f>
        <v xml:space="preserve"> SG_ opState31 : 55|8@0+ (1,0) [0|255] ""</v>
      </c>
      <c r="U14" t="str">
        <f t="shared" ref="U14" si="28">" SG_ " &amp; J14 &amp; " : 63|8@0+ (1,0) [0|255] """""</f>
        <v xml:space="preserve"> SG_ opState32 : 63|8@0+ (1,0) [0|255] ""</v>
      </c>
    </row>
    <row r="15" spans="1:21" ht="15.75" thickBot="1" x14ac:dyDescent="0.3">
      <c r="A15" s="2" t="s">
        <v>33</v>
      </c>
      <c r="B15" s="4" t="s">
        <v>2</v>
      </c>
      <c r="C15" s="5" t="s">
        <v>3</v>
      </c>
      <c r="D15" s="5" t="s">
        <v>3</v>
      </c>
      <c r="E15" s="5" t="s">
        <v>3</v>
      </c>
      <c r="F15" s="5" t="s">
        <v>3</v>
      </c>
      <c r="G15" s="5" t="s">
        <v>3</v>
      </c>
      <c r="H15" s="5" t="s">
        <v>3</v>
      </c>
      <c r="I15" s="5" t="s">
        <v>3</v>
      </c>
      <c r="J15" s="5" t="s">
        <v>3</v>
      </c>
    </row>
    <row r="16" spans="1:21" ht="26.25" thickBot="1" x14ac:dyDescent="0.3">
      <c r="A16" s="3"/>
      <c r="B16" s="4" t="s">
        <v>4</v>
      </c>
      <c r="C16" s="6" t="s">
        <v>143</v>
      </c>
      <c r="D16" s="6" t="s">
        <v>14</v>
      </c>
      <c r="E16" s="6" t="s">
        <v>14</v>
      </c>
      <c r="F16" s="6" t="s">
        <v>14</v>
      </c>
      <c r="G16" s="6" t="s">
        <v>14</v>
      </c>
      <c r="H16" s="6" t="s">
        <v>14</v>
      </c>
      <c r="I16" s="6" t="s">
        <v>14</v>
      </c>
      <c r="J16" s="6" t="s">
        <v>14</v>
      </c>
    </row>
    <row r="17" spans="1:21" ht="24.75" thickBot="1" x14ac:dyDescent="0.3">
      <c r="A17" s="2" t="s">
        <v>161</v>
      </c>
      <c r="B17" s="8" t="s">
        <v>1</v>
      </c>
      <c r="C17" s="5" t="s">
        <v>43</v>
      </c>
      <c r="D17" s="5" t="s">
        <v>44</v>
      </c>
      <c r="E17" s="5" t="s">
        <v>45</v>
      </c>
      <c r="F17" s="5" t="s">
        <v>46</v>
      </c>
      <c r="G17" s="5" t="s">
        <v>47</v>
      </c>
      <c r="H17" s="5" t="s">
        <v>48</v>
      </c>
      <c r="I17" s="5" t="s">
        <v>49</v>
      </c>
      <c r="J17" s="9" t="s">
        <v>50</v>
      </c>
      <c r="M17" t="str">
        <f t="shared" ref="M17" si="29">"BO_ " &amp; HEX2DEC(LEFT(A18,3)) &amp; " " &amp; A17 &amp; " :8 LR_PDUx4"</f>
        <v>BO_ 1797 Frame_06 :8 LR_PDUx4</v>
      </c>
      <c r="N17" t="str">
        <f>" SG_ " &amp; C17 &amp; " : 7|8@0+ (0.2,0) [0|51] ""A"""</f>
        <v xml:space="preserve"> SG_ current01 : 7|8@0+ (0.2,0) [0|51] "A"</v>
      </c>
      <c r="O17" t="str">
        <f>" SG_ " &amp; D17 &amp; " : 15|8@0+ (0.2,0) [0|51] ""A"""</f>
        <v xml:space="preserve"> SG_ current02 : 15|8@0+ (0.2,0) [0|51] "A"</v>
      </c>
      <c r="P17" t="str">
        <f>" SG_ " &amp; E17 &amp; " : 23|8@0+ (0.2,0) [0|51] ""A"""</f>
        <v xml:space="preserve"> SG_ current03 : 23|8@0+ (0.2,0) [0|51] "A"</v>
      </c>
      <c r="Q17" t="str">
        <f>" SG_ " &amp; F17 &amp; " : 31|8@0+ (0.2,0) [0|51] ""A"""</f>
        <v xml:space="preserve"> SG_ current04 : 31|8@0+ (0.2,0) [0|51] "A"</v>
      </c>
      <c r="R17" t="str">
        <f>" SG_ " &amp; G17 &amp; " : 39|8@0+ (0.2,0) [0|51] ""A"""</f>
        <v xml:space="preserve"> SG_ current05 : 39|8@0+ (0.2,0) [0|51] "A"</v>
      </c>
      <c r="S17" t="str">
        <f>" SG_ " &amp; H17 &amp; " : 47|8@0+ (0.2,0) [0|51] ""A"""</f>
        <v xml:space="preserve"> SG_ current06 : 47|8@0+ (0.2,0) [0|51] "A"</v>
      </c>
      <c r="T17" t="str">
        <f>" SG_ " &amp; I17 &amp; " : 55|8@0+ (0.2,0) [0|51] ""A"""</f>
        <v xml:space="preserve"> SG_ current07 : 55|8@0+ (0.2,0) [0|51] "A"</v>
      </c>
      <c r="U17" t="str">
        <f>" SG_ " &amp; J17 &amp; " : 63|8@0+ (0.2,0) [0|51] ""A"""</f>
        <v xml:space="preserve"> SG_ current08 : 63|8@0+ (0.2,0) [0|51] "A"</v>
      </c>
    </row>
    <row r="18" spans="1:21" ht="15.75" thickBot="1" x14ac:dyDescent="0.3">
      <c r="A18" s="2" t="s">
        <v>42</v>
      </c>
      <c r="B18" s="8" t="s">
        <v>2</v>
      </c>
      <c r="C18" s="5" t="s">
        <v>51</v>
      </c>
      <c r="D18" s="5" t="s">
        <v>51</v>
      </c>
      <c r="E18" s="5" t="s">
        <v>51</v>
      </c>
      <c r="F18" s="5" t="s">
        <v>51</v>
      </c>
      <c r="G18" s="5" t="s">
        <v>51</v>
      </c>
      <c r="H18" s="5" t="s">
        <v>51</v>
      </c>
      <c r="I18" s="5" t="s">
        <v>51</v>
      </c>
      <c r="J18" s="9" t="s">
        <v>51</v>
      </c>
    </row>
    <row r="19" spans="1:21" ht="26.25" thickBot="1" x14ac:dyDescent="0.3">
      <c r="A19" s="3"/>
      <c r="B19" s="8" t="s">
        <v>4</v>
      </c>
      <c r="C19" s="12" t="s">
        <v>144</v>
      </c>
      <c r="D19" s="12" t="s">
        <v>144</v>
      </c>
      <c r="E19" s="12" t="s">
        <v>144</v>
      </c>
      <c r="F19" s="12" t="s">
        <v>144</v>
      </c>
      <c r="G19" s="12" t="s">
        <v>144</v>
      </c>
      <c r="H19" s="12" t="s">
        <v>144</v>
      </c>
      <c r="I19" s="12" t="s">
        <v>144</v>
      </c>
      <c r="J19" s="13" t="s">
        <v>144</v>
      </c>
    </row>
    <row r="20" spans="1:21" ht="24.75" thickBot="1" x14ac:dyDescent="0.3">
      <c r="A20" s="2" t="s">
        <v>162</v>
      </c>
      <c r="B20" s="8" t="s">
        <v>1</v>
      </c>
      <c r="C20" s="5" t="s">
        <v>53</v>
      </c>
      <c r="D20" s="5" t="s">
        <v>54</v>
      </c>
      <c r="E20" s="5" t="s">
        <v>55</v>
      </c>
      <c r="F20" s="5" t="s">
        <v>56</v>
      </c>
      <c r="G20" s="5" t="s">
        <v>57</v>
      </c>
      <c r="H20" s="5" t="s">
        <v>58</v>
      </c>
      <c r="I20" s="5" t="s">
        <v>59</v>
      </c>
      <c r="J20" s="9" t="s">
        <v>60</v>
      </c>
      <c r="M20" t="str">
        <f>"BO_ " &amp; HEX2DEC(LEFT(A21,3)) &amp; " " &amp; A20 &amp; " :8 LR_PDUx4"</f>
        <v>BO_ 1798 Frame_07 :8 LR_PDUx4</v>
      </c>
      <c r="N20" t="str">
        <f t="shared" ref="N20" si="30">" SG_ " &amp; C20 &amp; " : 7|8@0+ (0.2,0) [0|51] ""A"""</f>
        <v xml:space="preserve"> SG_ current09 : 7|8@0+ (0.2,0) [0|51] "A"</v>
      </c>
      <c r="O20" t="str">
        <f t="shared" ref="O20" si="31">" SG_ " &amp; D20 &amp; " : 15|8@0+ (0.2,0) [0|51] ""A"""</f>
        <v xml:space="preserve"> SG_ current10 : 15|8@0+ (0.2,0) [0|51] "A"</v>
      </c>
      <c r="P20" t="str">
        <f t="shared" ref="P20" si="32">" SG_ " &amp; E20 &amp; " : 23|8@0+ (0.2,0) [0|51] ""A"""</f>
        <v xml:space="preserve"> SG_ current11 : 23|8@0+ (0.2,0) [0|51] "A"</v>
      </c>
      <c r="Q20" t="str">
        <f t="shared" ref="Q20" si="33">" SG_ " &amp; F20 &amp; " : 31|8@0+ (0.2,0) [0|51] ""A"""</f>
        <v xml:space="preserve"> SG_ current12 : 31|8@0+ (0.2,0) [0|51] "A"</v>
      </c>
      <c r="R20" t="str">
        <f t="shared" ref="R20" si="34">" SG_ " &amp; G20 &amp; " : 39|8@0+ (0.2,0) [0|51] ""A"""</f>
        <v xml:space="preserve"> SG_ current13 : 39|8@0+ (0.2,0) [0|51] "A"</v>
      </c>
      <c r="S20" t="str">
        <f t="shared" ref="S20" si="35">" SG_ " &amp; H20 &amp; " : 47|8@0+ (0.2,0) [0|51] ""A"""</f>
        <v xml:space="preserve"> SG_ current14 : 47|8@0+ (0.2,0) [0|51] "A"</v>
      </c>
      <c r="T20" t="str">
        <f t="shared" ref="T20" si="36">" SG_ " &amp; I20 &amp; " : 55|8@0+ (0.2,0) [0|51] ""A"""</f>
        <v xml:space="preserve"> SG_ current15 : 55|8@0+ (0.2,0) [0|51] "A"</v>
      </c>
      <c r="U20" t="str">
        <f t="shared" ref="U20" si="37">" SG_ " &amp; J20 &amp; " : 63|8@0+ (0.2,0) [0|51] ""A"""</f>
        <v xml:space="preserve"> SG_ current16 : 63|8@0+ (0.2,0) [0|51] "A"</v>
      </c>
    </row>
    <row r="21" spans="1:21" ht="15.75" thickBot="1" x14ac:dyDescent="0.3">
      <c r="A21" s="2" t="s">
        <v>52</v>
      </c>
      <c r="B21" s="8" t="s">
        <v>2</v>
      </c>
      <c r="C21" s="5" t="s">
        <v>51</v>
      </c>
      <c r="D21" s="5" t="s">
        <v>51</v>
      </c>
      <c r="E21" s="5" t="s">
        <v>51</v>
      </c>
      <c r="F21" s="5" t="s">
        <v>51</v>
      </c>
      <c r="G21" s="5" t="s">
        <v>51</v>
      </c>
      <c r="H21" s="5" t="s">
        <v>51</v>
      </c>
      <c r="I21" s="5" t="s">
        <v>51</v>
      </c>
      <c r="J21" s="9" t="s">
        <v>51</v>
      </c>
    </row>
    <row r="22" spans="1:21" ht="26.25" thickBot="1" x14ac:dyDescent="0.3">
      <c r="A22" s="3"/>
      <c r="B22" s="8" t="s">
        <v>4</v>
      </c>
      <c r="C22" s="12" t="s">
        <v>144</v>
      </c>
      <c r="D22" s="12" t="s">
        <v>144</v>
      </c>
      <c r="E22" s="12" t="s">
        <v>144</v>
      </c>
      <c r="F22" s="12" t="s">
        <v>144</v>
      </c>
      <c r="G22" s="12" t="s">
        <v>144</v>
      </c>
      <c r="H22" s="12" t="s">
        <v>144</v>
      </c>
      <c r="I22" s="12" t="s">
        <v>144</v>
      </c>
      <c r="J22" s="13" t="s">
        <v>144</v>
      </c>
    </row>
    <row r="23" spans="1:21" ht="24.75" thickBot="1" x14ac:dyDescent="0.3">
      <c r="A23" s="2" t="s">
        <v>163</v>
      </c>
      <c r="B23" s="8" t="s">
        <v>1</v>
      </c>
      <c r="C23" s="5" t="s">
        <v>62</v>
      </c>
      <c r="D23" s="5" t="s">
        <v>63</v>
      </c>
      <c r="E23" s="5" t="s">
        <v>64</v>
      </c>
      <c r="F23" s="5" t="s">
        <v>65</v>
      </c>
      <c r="G23" s="5" t="s">
        <v>66</v>
      </c>
      <c r="H23" s="5" t="s">
        <v>67</v>
      </c>
      <c r="I23" s="5" t="s">
        <v>68</v>
      </c>
      <c r="J23" s="9" t="s">
        <v>69</v>
      </c>
      <c r="M23" t="str">
        <f t="shared" ref="M23" si="38">"BO_ " &amp; HEX2DEC(LEFT(A24,3)) &amp; " " &amp; A23 &amp; " :8 LR_PDUx4"</f>
        <v>BO_ 1799 Frame_08 :8 LR_PDUx4</v>
      </c>
      <c r="N23" t="str">
        <f t="shared" ref="N23" si="39">" SG_ " &amp; C23 &amp; " : 7|8@0+ (0.2,0) [0|51] ""A"""</f>
        <v xml:space="preserve"> SG_ current17 : 7|8@0+ (0.2,0) [0|51] "A"</v>
      </c>
      <c r="O23" t="str">
        <f t="shared" ref="O23" si="40">" SG_ " &amp; D23 &amp; " : 15|8@0+ (0.2,0) [0|51] ""A"""</f>
        <v xml:space="preserve"> SG_ current18 : 15|8@0+ (0.2,0) [0|51] "A"</v>
      </c>
      <c r="P23" t="str">
        <f t="shared" ref="P23" si="41">" SG_ " &amp; E23 &amp; " : 23|8@0+ (0.2,0) [0|51] ""A"""</f>
        <v xml:space="preserve"> SG_ current19 : 23|8@0+ (0.2,0) [0|51] "A"</v>
      </c>
      <c r="Q23" t="str">
        <f t="shared" ref="Q23" si="42">" SG_ " &amp; F23 &amp; " : 31|8@0+ (0.2,0) [0|51] ""A"""</f>
        <v xml:space="preserve"> SG_ current20 : 31|8@0+ (0.2,0) [0|51] "A"</v>
      </c>
      <c r="R23" t="str">
        <f t="shared" ref="R23" si="43">" SG_ " &amp; G23 &amp; " : 39|8@0+ (0.2,0) [0|51] ""A"""</f>
        <v xml:space="preserve"> SG_ current21 : 39|8@0+ (0.2,0) [0|51] "A"</v>
      </c>
      <c r="S23" t="str">
        <f t="shared" ref="S23" si="44">" SG_ " &amp; H23 &amp; " : 47|8@0+ (0.2,0) [0|51] ""A"""</f>
        <v xml:space="preserve"> SG_ current22 : 47|8@0+ (0.2,0) [0|51] "A"</v>
      </c>
      <c r="T23" t="str">
        <f t="shared" ref="T23" si="45">" SG_ " &amp; I23 &amp; " : 55|8@0+ (0.2,0) [0|51] ""A"""</f>
        <v xml:space="preserve"> SG_ current23 : 55|8@0+ (0.2,0) [0|51] "A"</v>
      </c>
      <c r="U23" t="str">
        <f t="shared" ref="U23" si="46">" SG_ " &amp; J23 &amp; " : 63|8@0+ (0.2,0) [0|51] ""A"""</f>
        <v xml:space="preserve"> SG_ current24 : 63|8@0+ (0.2,0) [0|51] "A"</v>
      </c>
    </row>
    <row r="24" spans="1:21" ht="15.75" thickBot="1" x14ac:dyDescent="0.3">
      <c r="A24" s="2" t="s">
        <v>61</v>
      </c>
      <c r="B24" s="8" t="s">
        <v>2</v>
      </c>
      <c r="C24" s="5" t="s">
        <v>51</v>
      </c>
      <c r="D24" s="5" t="s">
        <v>51</v>
      </c>
      <c r="E24" s="5" t="s">
        <v>51</v>
      </c>
      <c r="F24" s="5" t="s">
        <v>51</v>
      </c>
      <c r="G24" s="5" t="s">
        <v>51</v>
      </c>
      <c r="H24" s="5" t="s">
        <v>51</v>
      </c>
      <c r="I24" s="5" t="s">
        <v>51</v>
      </c>
      <c r="J24" s="9" t="s">
        <v>51</v>
      </c>
    </row>
    <row r="25" spans="1:21" ht="26.25" thickBot="1" x14ac:dyDescent="0.3">
      <c r="A25" s="3"/>
      <c r="B25" s="8" t="s">
        <v>4</v>
      </c>
      <c r="C25" s="12" t="s">
        <v>144</v>
      </c>
      <c r="D25" s="12" t="s">
        <v>144</v>
      </c>
      <c r="E25" s="12" t="s">
        <v>144</v>
      </c>
      <c r="F25" s="12" t="s">
        <v>144</v>
      </c>
      <c r="G25" s="12" t="s">
        <v>144</v>
      </c>
      <c r="H25" s="12" t="s">
        <v>144</v>
      </c>
      <c r="I25" s="12" t="s">
        <v>144</v>
      </c>
      <c r="J25" s="13" t="s">
        <v>144</v>
      </c>
    </row>
    <row r="26" spans="1:21" ht="24.75" thickBot="1" x14ac:dyDescent="0.3">
      <c r="A26" s="2" t="s">
        <v>164</v>
      </c>
      <c r="B26" s="4" t="s">
        <v>1</v>
      </c>
      <c r="C26" s="5" t="s">
        <v>71</v>
      </c>
      <c r="D26" s="5" t="s">
        <v>72</v>
      </c>
      <c r="E26" s="5" t="s">
        <v>73</v>
      </c>
      <c r="F26" s="5" t="s">
        <v>74</v>
      </c>
      <c r="G26" s="5" t="s">
        <v>75</v>
      </c>
      <c r="H26" s="5" t="s">
        <v>76</v>
      </c>
      <c r="I26" s="5" t="s">
        <v>77</v>
      </c>
      <c r="J26" s="5" t="s">
        <v>78</v>
      </c>
      <c r="M26" t="str">
        <f t="shared" ref="M26" si="47">"BO_ " &amp; HEX2DEC(LEFT(A27,3)) &amp; " " &amp; A26 &amp; " :8 LR_PDUx4"</f>
        <v>BO_ 1800 Frame_09 :8 LR_PDUx4</v>
      </c>
      <c r="N26" t="str">
        <f t="shared" ref="N26" si="48">" SG_ " &amp; C26 &amp; " : 7|8@0+ (0.2,0) [0|51] ""A"""</f>
        <v xml:space="preserve"> SG_ current25 : 7|8@0+ (0.2,0) [0|51] "A"</v>
      </c>
      <c r="O26" t="str">
        <f t="shared" ref="O26" si="49">" SG_ " &amp; D26 &amp; " : 15|8@0+ (0.2,0) [0|51] ""A"""</f>
        <v xml:space="preserve"> SG_ current26 : 15|8@0+ (0.2,0) [0|51] "A"</v>
      </c>
      <c r="P26" t="str">
        <f t="shared" ref="P26" si="50">" SG_ " &amp; E26 &amp; " : 23|8@0+ (0.2,0) [0|51] ""A"""</f>
        <v xml:space="preserve"> SG_ current27 : 23|8@0+ (0.2,0) [0|51] "A"</v>
      </c>
      <c r="Q26" t="str">
        <f t="shared" ref="Q26" si="51">" SG_ " &amp; F26 &amp; " : 31|8@0+ (0.2,0) [0|51] ""A"""</f>
        <v xml:space="preserve"> SG_ current28 : 31|8@0+ (0.2,0) [0|51] "A"</v>
      </c>
      <c r="R26" t="str">
        <f t="shared" ref="R26" si="52">" SG_ " &amp; G26 &amp; " : 39|8@0+ (0.2,0) [0|51] ""A"""</f>
        <v xml:space="preserve"> SG_ current29 : 39|8@0+ (0.2,0) [0|51] "A"</v>
      </c>
      <c r="S26" t="str">
        <f t="shared" ref="S26" si="53">" SG_ " &amp; H26 &amp; " : 47|8@0+ (0.2,0) [0|51] ""A"""</f>
        <v xml:space="preserve"> SG_ current30 : 47|8@0+ (0.2,0) [0|51] "A"</v>
      </c>
      <c r="T26" t="str">
        <f t="shared" ref="T26" si="54">" SG_ " &amp; I26 &amp; " : 55|8@0+ (0.2,0) [0|51] ""A"""</f>
        <v xml:space="preserve"> SG_ current31 : 55|8@0+ (0.2,0) [0|51] "A"</v>
      </c>
      <c r="U26" t="str">
        <f t="shared" ref="U26" si="55">" SG_ " &amp; J26 &amp; " : 63|8@0+ (0.2,0) [0|51] ""A"""</f>
        <v xml:space="preserve"> SG_ current32 : 63|8@0+ (0.2,0) [0|51] "A"</v>
      </c>
    </row>
    <row r="27" spans="1:21" ht="15.75" thickBot="1" x14ac:dyDescent="0.3">
      <c r="A27" s="2" t="s">
        <v>70</v>
      </c>
      <c r="B27" s="4" t="s">
        <v>2</v>
      </c>
      <c r="C27" s="5" t="s">
        <v>51</v>
      </c>
      <c r="D27" s="5" t="s">
        <v>51</v>
      </c>
      <c r="E27" s="5" t="s">
        <v>51</v>
      </c>
      <c r="F27" s="5" t="s">
        <v>51</v>
      </c>
      <c r="G27" s="5" t="s">
        <v>51</v>
      </c>
      <c r="H27" s="5" t="s">
        <v>51</v>
      </c>
      <c r="I27" s="5" t="s">
        <v>51</v>
      </c>
      <c r="J27" s="5" t="s">
        <v>51</v>
      </c>
    </row>
    <row r="28" spans="1:21" ht="26.25" thickBot="1" x14ac:dyDescent="0.3">
      <c r="A28" s="3"/>
      <c r="B28" s="4" t="s">
        <v>4</v>
      </c>
      <c r="C28" s="14" t="s">
        <v>144</v>
      </c>
      <c r="D28" s="14" t="s">
        <v>144</v>
      </c>
      <c r="E28" s="14" t="s">
        <v>144</v>
      </c>
      <c r="F28" s="14" t="s">
        <v>144</v>
      </c>
      <c r="G28" s="14" t="s">
        <v>144</v>
      </c>
      <c r="H28" s="14" t="s">
        <v>144</v>
      </c>
      <c r="I28" s="14" t="s">
        <v>144</v>
      </c>
      <c r="J28" s="14" t="s">
        <v>144</v>
      </c>
    </row>
    <row r="29" spans="1:21" ht="15.75" thickBot="1" x14ac:dyDescent="0.3">
      <c r="A29" s="2" t="s">
        <v>126</v>
      </c>
      <c r="B29" s="4" t="s">
        <v>1</v>
      </c>
      <c r="C29" s="26" t="s">
        <v>145</v>
      </c>
      <c r="D29" s="27"/>
      <c r="E29" s="26" t="s">
        <v>146</v>
      </c>
      <c r="F29" s="27"/>
      <c r="G29" s="26" t="s">
        <v>80</v>
      </c>
      <c r="H29" s="28"/>
      <c r="I29" s="28"/>
      <c r="J29" s="27"/>
      <c r="M29" t="str">
        <f t="shared" ref="M29" si="56">"BO_ " &amp; HEX2DEC(LEFT(A30,3)) &amp; " " &amp; A29 &amp; " :8 LR_PDUx4"</f>
        <v>BO_ 1801 Frame_10 :8 LR_PDUx4</v>
      </c>
      <c r="N29" t="str">
        <f>" SG_ " &amp; C29 &amp; " : 7|16@0+ (0.1,0) [0|150] ""degC"""</f>
        <v xml:space="preserve"> SG_ Board_Temperature : 7|16@0+ (0.1,0) [0|150] "degC"</v>
      </c>
      <c r="P29" t="str">
        <f>" SG_ " &amp; E29 &amp; " : 23|16@0+ (0.001,0) [0|100] ""V"""</f>
        <v xml:space="preserve"> SG_ Battery_Voltage : 23|16@0+ (0.001,0) [0|100] "V"</v>
      </c>
      <c r="R29" t="str">
        <f>" SG_ " &amp; G29 &amp; " : 39|32@0+ (0.01,0) [0|42949672.95] ""seconds"""</f>
        <v xml:space="preserve"> SG_ onTime : 39|32@0+ (0.01,0) [0|42949672.95] "seconds"</v>
      </c>
    </row>
    <row r="30" spans="1:21" ht="15.75" thickBot="1" x14ac:dyDescent="0.3">
      <c r="A30" s="2" t="s">
        <v>79</v>
      </c>
      <c r="B30" s="4" t="s">
        <v>2</v>
      </c>
      <c r="C30" s="29" t="s">
        <v>81</v>
      </c>
      <c r="D30" s="30"/>
      <c r="E30" s="29" t="s">
        <v>82</v>
      </c>
      <c r="F30" s="30"/>
      <c r="G30" s="29" t="s">
        <v>83</v>
      </c>
      <c r="H30" s="31"/>
      <c r="I30" s="31"/>
      <c r="J30" s="30"/>
    </row>
    <row r="31" spans="1:21" ht="26.25" thickBot="1" x14ac:dyDescent="0.3">
      <c r="A31" s="3"/>
      <c r="B31" s="4" t="s">
        <v>4</v>
      </c>
      <c r="C31" s="24" t="s">
        <v>147</v>
      </c>
      <c r="D31" s="25"/>
      <c r="E31" s="24" t="s">
        <v>148</v>
      </c>
      <c r="F31" s="25"/>
      <c r="G31" s="24" t="s">
        <v>149</v>
      </c>
      <c r="H31" s="32"/>
      <c r="I31" s="32"/>
      <c r="J31" s="25"/>
    </row>
    <row r="32" spans="1:21" ht="24.75" thickBot="1" x14ac:dyDescent="0.3">
      <c r="A32" s="2" t="s">
        <v>127</v>
      </c>
      <c r="B32" s="4" t="s">
        <v>1</v>
      </c>
      <c r="C32" s="5" t="s">
        <v>150</v>
      </c>
      <c r="D32" s="5" t="s">
        <v>151</v>
      </c>
      <c r="E32" s="5" t="s">
        <v>152</v>
      </c>
      <c r="F32" s="5" t="s">
        <v>153</v>
      </c>
      <c r="G32" s="26" t="s">
        <v>85</v>
      </c>
      <c r="H32" s="27"/>
      <c r="I32" s="5" t="s">
        <v>86</v>
      </c>
      <c r="J32" s="5" t="s">
        <v>87</v>
      </c>
      <c r="M32" t="str">
        <f t="shared" ref="M32" si="57">"BO_ " &amp; HEX2DEC(LEFT(A33,3)) &amp; " " &amp; A32 &amp; " :8 LR_PDUx4"</f>
        <v>BO_ 1802 Frame_11 :8 LR_PDUx4</v>
      </c>
      <c r="N32" t="str">
        <f>" SG_ " &amp; C32 &amp; " : 7|8@0+ (0.2,0) [0|5] ""V"""</f>
        <v xml:space="preserve"> SG_ An_01_Voltage : 7|8@0+ (0.2,0) [0|5] "V"</v>
      </c>
      <c r="O32" t="str">
        <f>" SG_ " &amp; D32 &amp; " : 15|8@0+ (0.2,0) [0|5] ""V"""</f>
        <v xml:space="preserve"> SG_ An_02___Voltage : 15|8@0+ (0.2,0) [0|5] "V"</v>
      </c>
      <c r="P32" t="str">
        <f>" SG_ " &amp; E32 &amp; " : 23|8@0+ (0.2,0) [0|5] ""V"""</f>
        <v xml:space="preserve"> SG_ An_03___Voltage : 23|8@0+ (0.2,0) [0|5] "V"</v>
      </c>
      <c r="Q32" t="str">
        <f>" SG_ " &amp; F32 &amp; " : 31|8@0+ (0.2,0) [0|5] ""V"""</f>
        <v xml:space="preserve"> SG_ An04____Voltage : 31|8@0+ (0.2,0) [0|5] "V"</v>
      </c>
      <c r="R32" t="str">
        <f>" SG_ " &amp; G32 &amp; " : 39|16@0+ (0.2,0) [0|13107] ""A"""</f>
        <v xml:space="preserve"> SG_ totalCurrent : 39|16@0+ (0.2,0) [0|13107] "A"</v>
      </c>
      <c r="T32" t="str">
        <f>" SG_ " &amp; I32 &amp; " : 55|8@0+ (1,0) [0|255] """""</f>
        <v xml:space="preserve"> SG_ Flags(3) : 55|8@0+ (1,0) [0|255] ""</v>
      </c>
    </row>
    <row r="33" spans="1:21" ht="15.75" thickBot="1" x14ac:dyDescent="0.3">
      <c r="A33" s="2" t="s">
        <v>84</v>
      </c>
      <c r="B33" s="4" t="s">
        <v>2</v>
      </c>
      <c r="C33" s="5" t="s">
        <v>82</v>
      </c>
      <c r="D33" s="5" t="s">
        <v>82</v>
      </c>
      <c r="E33" s="5" t="s">
        <v>82</v>
      </c>
      <c r="F33" s="5" t="s">
        <v>82</v>
      </c>
      <c r="G33" s="29" t="s">
        <v>51</v>
      </c>
      <c r="H33" s="30"/>
      <c r="I33" s="5" t="s">
        <v>3</v>
      </c>
      <c r="J33" s="5" t="s">
        <v>3</v>
      </c>
    </row>
    <row r="34" spans="1:21" ht="26.25" thickBot="1" x14ac:dyDescent="0.3">
      <c r="A34" s="3"/>
      <c r="B34" s="4" t="s">
        <v>4</v>
      </c>
      <c r="C34" s="14" t="s">
        <v>154</v>
      </c>
      <c r="D34" s="14" t="s">
        <v>154</v>
      </c>
      <c r="E34" s="14" t="s">
        <v>154</v>
      </c>
      <c r="F34" s="14" t="s">
        <v>154</v>
      </c>
      <c r="G34" s="24" t="s">
        <v>144</v>
      </c>
      <c r="H34" s="25"/>
      <c r="I34" s="14" t="s">
        <v>155</v>
      </c>
      <c r="J34" s="14" t="s">
        <v>88</v>
      </c>
    </row>
    <row r="35" spans="1:21" ht="24.75" thickBot="1" x14ac:dyDescent="0.3">
      <c r="A35" s="2" t="s">
        <v>128</v>
      </c>
      <c r="B35" s="4" t="s">
        <v>1</v>
      </c>
      <c r="C35" s="5" t="s">
        <v>90</v>
      </c>
      <c r="D35" s="5" t="s">
        <v>91</v>
      </c>
      <c r="E35" s="5" t="s">
        <v>92</v>
      </c>
      <c r="F35" s="5" t="s">
        <v>93</v>
      </c>
      <c r="G35" s="5" t="s">
        <v>94</v>
      </c>
      <c r="H35" s="5" t="s">
        <v>95</v>
      </c>
      <c r="I35" s="5" t="s">
        <v>96</v>
      </c>
      <c r="J35" s="5" t="s">
        <v>97</v>
      </c>
      <c r="M35" t="str">
        <f t="shared" ref="M35" si="58">"BO_ " &amp; HEX2DEC(LEFT(A36,3)) &amp; " " &amp; A35 &amp; " :8 LR_PDUx4"</f>
        <v>BO_ 1803 Frame_12 :8 LR_PDUx4</v>
      </c>
      <c r="N35" t="str">
        <f>" SG_ " &amp; C35 &amp; " : 7|8@0+ (1,0) [0|255] """""</f>
        <v xml:space="preserve"> SG_ opState33 : 7|8@0+ (1,0) [0|255] ""</v>
      </c>
      <c r="O35" t="str">
        <f>" SG_ " &amp; D35 &amp; " : 15|8@0+ (0.2,0) [0|51] ""A"""</f>
        <v xml:space="preserve"> SG_ current33 : 15|8@0+ (0.2,0) [0|51] "A"</v>
      </c>
      <c r="P35" t="str">
        <f>" SG_ " &amp; E35 &amp; " : 23|8@0+ (1,0) [0|255] """""</f>
        <v xml:space="preserve"> SG_ opState34 : 23|8@0+ (1,0) [0|255] ""</v>
      </c>
      <c r="Q35" t="str">
        <f>" SG_ " &amp; F35 &amp; " : 31|8@0+ (0.2,0) [0|51] ""A"""</f>
        <v xml:space="preserve"> SG_ current34 : 31|8@0+ (0.2,0) [0|51] "A"</v>
      </c>
      <c r="R35" t="str">
        <f>" SG_ " &amp; G35 &amp; " : 39|8@0+ (1,0) [0|255] """""</f>
        <v xml:space="preserve"> SG_ opState35 : 39|8@0+ (1,0) [0|255] ""</v>
      </c>
      <c r="S35" t="str">
        <f>" SG_ " &amp; H35 &amp; " : 47|8@0+ (0.2,0) [0|51] ""A"""</f>
        <v xml:space="preserve"> SG_ current35 : 47|8@0+ (0.2,0) [0|51] "A"</v>
      </c>
      <c r="T35" t="str">
        <f>" SG_ " &amp; I35 &amp; " : 55|8@0+ (1,0) [0|255] """""</f>
        <v xml:space="preserve"> SG_ opState36 : 55|8@0+ (1,0) [0|255] ""</v>
      </c>
      <c r="U35" t="str">
        <f>" SG_ " &amp; J35 &amp; " : 63|8@0+ (0.2,0) [0|51] ""A"""</f>
        <v xml:space="preserve"> SG_ current36 : 63|8@0+ (0.2,0) [0|51] "A"</v>
      </c>
    </row>
    <row r="36" spans="1:21" ht="15.75" thickBot="1" x14ac:dyDescent="0.3">
      <c r="A36" s="2" t="s">
        <v>89</v>
      </c>
      <c r="B36" s="4" t="s">
        <v>2</v>
      </c>
      <c r="C36" s="5" t="s">
        <v>3</v>
      </c>
      <c r="D36" s="5" t="s">
        <v>51</v>
      </c>
      <c r="E36" s="5" t="s">
        <v>3</v>
      </c>
      <c r="F36" s="5" t="s">
        <v>51</v>
      </c>
      <c r="G36" s="5" t="s">
        <v>3</v>
      </c>
      <c r="H36" s="5" t="s">
        <v>51</v>
      </c>
      <c r="I36" s="5" t="s">
        <v>3</v>
      </c>
      <c r="J36" s="5" t="s">
        <v>51</v>
      </c>
    </row>
    <row r="37" spans="1:21" ht="26.25" thickBot="1" x14ac:dyDescent="0.3">
      <c r="A37" s="15"/>
      <c r="B37" s="4" t="s">
        <v>4</v>
      </c>
      <c r="C37" s="6" t="s">
        <v>14</v>
      </c>
      <c r="D37" s="12" t="s">
        <v>144</v>
      </c>
      <c r="E37" s="6" t="s">
        <v>14</v>
      </c>
      <c r="F37" s="12" t="s">
        <v>144</v>
      </c>
      <c r="G37" s="6" t="s">
        <v>14</v>
      </c>
      <c r="H37" s="12" t="s">
        <v>144</v>
      </c>
      <c r="I37" s="6" t="s">
        <v>14</v>
      </c>
      <c r="J37" s="12" t="s">
        <v>144</v>
      </c>
    </row>
    <row r="38" spans="1:21" ht="24.75" thickBot="1" x14ac:dyDescent="0.3">
      <c r="A38" s="16" t="s">
        <v>129</v>
      </c>
      <c r="B38" s="8" t="s">
        <v>1</v>
      </c>
      <c r="C38" s="9" t="s">
        <v>99</v>
      </c>
      <c r="D38" s="9" t="s">
        <v>100</v>
      </c>
      <c r="E38" s="9" t="s">
        <v>101</v>
      </c>
      <c r="F38" s="9" t="s">
        <v>102</v>
      </c>
      <c r="G38" s="9" t="s">
        <v>103</v>
      </c>
      <c r="H38" s="9" t="s">
        <v>104</v>
      </c>
      <c r="I38" s="9" t="s">
        <v>105</v>
      </c>
      <c r="J38" s="9" t="s">
        <v>106</v>
      </c>
      <c r="M38" t="str">
        <f t="shared" ref="M38" si="59">"BO_ " &amp; HEX2DEC(LEFT(A39,3)) &amp; " " &amp; A38 &amp; " :8 LR_PDUx4"</f>
        <v>BO_ 1804 Frame_13 :8 LR_PDUx4</v>
      </c>
      <c r="N38" t="str">
        <f t="shared" ref="N38" si="60">" SG_ " &amp; C38 &amp; " : 7|8@0+ (1,0) [0|255] """""</f>
        <v xml:space="preserve"> SG_ opState37 : 7|8@0+ (1,0) [0|255] ""</v>
      </c>
      <c r="O38" t="str">
        <f t="shared" ref="O38" si="61">" SG_ " &amp; D38 &amp; " : 15|8@0+ (0.2,0) [0|51] ""A"""</f>
        <v xml:space="preserve"> SG_ current37 : 15|8@0+ (0.2,0) [0|51] "A"</v>
      </c>
      <c r="P38" t="str">
        <f t="shared" ref="P38" si="62">" SG_ " &amp; E38 &amp; " : 23|8@0+ (1,0) [0|255] """""</f>
        <v xml:space="preserve"> SG_ opState38 : 23|8@0+ (1,0) [0|255] ""</v>
      </c>
      <c r="Q38" t="str">
        <f t="shared" ref="Q38" si="63">" SG_ " &amp; F38 &amp; " : 31|8@0+ (0.2,0) [0|51] ""A"""</f>
        <v xml:space="preserve"> SG_ current38 : 31|8@0+ (0.2,0) [0|51] "A"</v>
      </c>
      <c r="R38" t="str">
        <f t="shared" ref="R38" si="64">" SG_ " &amp; G38 &amp; " : 39|8@0+ (1,0) [0|255] """""</f>
        <v xml:space="preserve"> SG_ opState39 : 39|8@0+ (1,0) [0|255] ""</v>
      </c>
      <c r="S38" t="str">
        <f t="shared" ref="S38" si="65">" SG_ " &amp; H38 &amp; " : 47|8@0+ (0.2,0) [0|51] ""A"""</f>
        <v xml:space="preserve"> SG_ current39 : 47|8@0+ (0.2,0) [0|51] "A"</v>
      </c>
      <c r="T38" t="str">
        <f t="shared" ref="T38" si="66">" SG_ " &amp; I38 &amp; " : 55|8@0+ (1,0) [0|255] """""</f>
        <v xml:space="preserve"> SG_ opState40 : 55|8@0+ (1,0) [0|255] ""</v>
      </c>
      <c r="U38" t="str">
        <f t="shared" ref="U38" si="67">" SG_ " &amp; J38 &amp; " : 63|8@0+ (0.2,0) [0|51] ""A"""</f>
        <v xml:space="preserve"> SG_ current40 : 63|8@0+ (0.2,0) [0|51] "A"</v>
      </c>
    </row>
    <row r="39" spans="1:21" ht="15.75" thickBot="1" x14ac:dyDescent="0.3">
      <c r="A39" s="16" t="s">
        <v>98</v>
      </c>
      <c r="B39" s="8" t="s">
        <v>2</v>
      </c>
      <c r="C39" s="9" t="s">
        <v>3</v>
      </c>
      <c r="D39" s="9" t="s">
        <v>51</v>
      </c>
      <c r="E39" s="9" t="s">
        <v>3</v>
      </c>
      <c r="F39" s="9" t="s">
        <v>51</v>
      </c>
      <c r="G39" s="9" t="s">
        <v>3</v>
      </c>
      <c r="H39" s="9" t="s">
        <v>51</v>
      </c>
      <c r="I39" s="9" t="s">
        <v>3</v>
      </c>
      <c r="J39" s="9" t="s">
        <v>51</v>
      </c>
    </row>
    <row r="40" spans="1:21" ht="26.25" thickBot="1" x14ac:dyDescent="0.3">
      <c r="A40" s="17"/>
      <c r="B40" s="8" t="s">
        <v>4</v>
      </c>
      <c r="C40" s="10" t="s">
        <v>14</v>
      </c>
      <c r="D40" s="13" t="s">
        <v>144</v>
      </c>
      <c r="E40" s="10" t="s">
        <v>14</v>
      </c>
      <c r="F40" s="13" t="s">
        <v>144</v>
      </c>
      <c r="G40" s="10" t="s">
        <v>14</v>
      </c>
      <c r="H40" s="13" t="s">
        <v>144</v>
      </c>
      <c r="I40" s="10" t="s">
        <v>14</v>
      </c>
      <c r="J40" s="13" t="s">
        <v>144</v>
      </c>
    </row>
    <row r="41" spans="1:21" ht="24.75" thickBot="1" x14ac:dyDescent="0.3">
      <c r="A41" s="16" t="s">
        <v>130</v>
      </c>
      <c r="B41" s="8" t="s">
        <v>1</v>
      </c>
      <c r="C41" s="9" t="s">
        <v>108</v>
      </c>
      <c r="D41" s="9" t="s">
        <v>109</v>
      </c>
      <c r="E41" s="9" t="s">
        <v>110</v>
      </c>
      <c r="F41" s="9" t="s">
        <v>111</v>
      </c>
      <c r="G41" s="9" t="s">
        <v>112</v>
      </c>
      <c r="H41" s="9" t="s">
        <v>113</v>
      </c>
      <c r="I41" s="9" t="s">
        <v>114</v>
      </c>
      <c r="J41" s="9" t="s">
        <v>115</v>
      </c>
      <c r="M41" t="str">
        <f t="shared" ref="M41" si="68">"BO_ " &amp; HEX2DEC(LEFT(A42,3)) &amp; " " &amp; A41 &amp; " :8 LR_PDUx4"</f>
        <v>BO_ 1805 Frame_14 :8 LR_PDUx4</v>
      </c>
      <c r="N41" t="str">
        <f t="shared" ref="N41" si="69">" SG_ " &amp; C41 &amp; " : 7|8@0+ (1,0) [0|255] """""</f>
        <v xml:space="preserve"> SG_ opState41 : 7|8@0+ (1,0) [0|255] ""</v>
      </c>
      <c r="O41" t="str">
        <f t="shared" ref="O41" si="70">" SG_ " &amp; D41 &amp; " : 15|8@0+ (0.2,0) [0|51] ""A"""</f>
        <v xml:space="preserve"> SG_ current41 : 15|8@0+ (0.2,0) [0|51] "A"</v>
      </c>
      <c r="P41" t="str">
        <f t="shared" ref="P41" si="71">" SG_ " &amp; E41 &amp; " : 23|8@0+ (1,0) [0|255] """""</f>
        <v xml:space="preserve"> SG_ opState42 : 23|8@0+ (1,0) [0|255] ""</v>
      </c>
      <c r="Q41" t="str">
        <f t="shared" ref="Q41" si="72">" SG_ " &amp; F41 &amp; " : 31|8@0+ (0.2,0) [0|51] ""A"""</f>
        <v xml:space="preserve"> SG_ current42 : 31|8@0+ (0.2,0) [0|51] "A"</v>
      </c>
      <c r="R41" t="str">
        <f t="shared" ref="R41" si="73">" SG_ " &amp; G41 &amp; " : 39|8@0+ (1,0) [0|255] """""</f>
        <v xml:space="preserve"> SG_ opState43 : 39|8@0+ (1,0) [0|255] ""</v>
      </c>
      <c r="S41" t="str">
        <f t="shared" ref="S41" si="74">" SG_ " &amp; H41 &amp; " : 47|8@0+ (0.2,0) [0|51] ""A"""</f>
        <v xml:space="preserve"> SG_ current43 : 47|8@0+ (0.2,0) [0|51] "A"</v>
      </c>
      <c r="T41" t="str">
        <f t="shared" ref="T41" si="75">" SG_ " &amp; I41 &amp; " : 55|8@0+ (1,0) [0|255] """""</f>
        <v xml:space="preserve"> SG_ opState44 : 55|8@0+ (1,0) [0|255] ""</v>
      </c>
      <c r="U41" t="str">
        <f t="shared" ref="U41" si="76">" SG_ " &amp; J41 &amp; " : 63|8@0+ (0.2,0) [0|51] ""A"""</f>
        <v xml:space="preserve"> SG_ current44 : 63|8@0+ (0.2,0) [0|51] "A"</v>
      </c>
    </row>
    <row r="42" spans="1:21" ht="15.75" thickBot="1" x14ac:dyDescent="0.3">
      <c r="A42" s="16" t="s">
        <v>107</v>
      </c>
      <c r="B42" s="8" t="s">
        <v>2</v>
      </c>
      <c r="C42" s="9" t="s">
        <v>3</v>
      </c>
      <c r="D42" s="9" t="s">
        <v>51</v>
      </c>
      <c r="E42" s="9" t="s">
        <v>3</v>
      </c>
      <c r="F42" s="9" t="s">
        <v>51</v>
      </c>
      <c r="G42" s="9" t="s">
        <v>3</v>
      </c>
      <c r="H42" s="9" t="s">
        <v>51</v>
      </c>
      <c r="I42" s="9" t="s">
        <v>3</v>
      </c>
      <c r="J42" s="9" t="s">
        <v>51</v>
      </c>
    </row>
    <row r="43" spans="1:21" ht="26.25" thickBot="1" x14ac:dyDescent="0.3">
      <c r="A43" s="17"/>
      <c r="B43" s="8" t="s">
        <v>4</v>
      </c>
      <c r="C43" s="10" t="s">
        <v>14</v>
      </c>
      <c r="D43" s="13" t="s">
        <v>144</v>
      </c>
      <c r="E43" s="10" t="s">
        <v>14</v>
      </c>
      <c r="F43" s="13" t="s">
        <v>144</v>
      </c>
      <c r="G43" s="10" t="s">
        <v>14</v>
      </c>
      <c r="H43" s="13" t="s">
        <v>144</v>
      </c>
      <c r="I43" s="10" t="s">
        <v>14</v>
      </c>
      <c r="J43" s="13" t="s">
        <v>144</v>
      </c>
    </row>
    <row r="44" spans="1:21" ht="24.75" thickBot="1" x14ac:dyDescent="0.3">
      <c r="A44" s="16" t="s">
        <v>131</v>
      </c>
      <c r="B44" s="8" t="s">
        <v>1</v>
      </c>
      <c r="C44" s="9" t="s">
        <v>117</v>
      </c>
      <c r="D44" s="9" t="s">
        <v>118</v>
      </c>
      <c r="E44" s="9" t="s">
        <v>119</v>
      </c>
      <c r="F44" s="9" t="s">
        <v>120</v>
      </c>
      <c r="G44" s="9" t="s">
        <v>121</v>
      </c>
      <c r="H44" s="9" t="s">
        <v>122</v>
      </c>
      <c r="I44" s="9" t="s">
        <v>123</v>
      </c>
      <c r="J44" s="9" t="s">
        <v>124</v>
      </c>
      <c r="M44" t="str">
        <f t="shared" ref="M44" si="77">"BO_ " &amp; HEX2DEC(LEFT(A45,3)) &amp; " " &amp; A44 &amp; " :8 LR_PDUx4"</f>
        <v>BO_ 1806 Frame_15 :8 LR_PDUx4</v>
      </c>
      <c r="N44" t="str">
        <f t="shared" ref="N44" si="78">" SG_ " &amp; C44 &amp; " : 7|8@0+ (1,0) [0|255] """""</f>
        <v xml:space="preserve"> SG_ opState45 : 7|8@0+ (1,0) [0|255] ""</v>
      </c>
      <c r="O44" t="str">
        <f t="shared" ref="O44" si="79">" SG_ " &amp; D44 &amp; " : 15|8@0+ (0.2,0) [0|51] ""A"""</f>
        <v xml:space="preserve"> SG_ current45 : 15|8@0+ (0.2,0) [0|51] "A"</v>
      </c>
      <c r="P44" t="str">
        <f t="shared" ref="P44" si="80">" SG_ " &amp; E44 &amp; " : 23|8@0+ (1,0) [0|255] """""</f>
        <v xml:space="preserve"> SG_ opState46 : 23|8@0+ (1,0) [0|255] ""</v>
      </c>
      <c r="Q44" t="str">
        <f t="shared" ref="Q44" si="81">" SG_ " &amp; F44 &amp; " : 31|8@0+ (0.2,0) [0|51] ""A"""</f>
        <v xml:space="preserve"> SG_ current46 : 31|8@0+ (0.2,0) [0|51] "A"</v>
      </c>
      <c r="R44" t="str">
        <f t="shared" ref="R44" si="82">" SG_ " &amp; G44 &amp; " : 39|8@0+ (1,0) [0|255] """""</f>
        <v xml:space="preserve"> SG_ opState47 : 39|8@0+ (1,0) [0|255] ""</v>
      </c>
      <c r="S44" t="str">
        <f t="shared" ref="S44" si="83">" SG_ " &amp; H44 &amp; " : 47|8@0+ (0.2,0) [0|51] ""A"""</f>
        <v xml:space="preserve"> SG_ current47 : 47|8@0+ (0.2,0) [0|51] "A"</v>
      </c>
      <c r="T44" t="str">
        <f t="shared" ref="T44" si="84">" SG_ " &amp; I44 &amp; " : 55|8@0+ (1,0) [0|255] """""</f>
        <v xml:space="preserve"> SG_ opState48 : 55|8@0+ (1,0) [0|255] ""</v>
      </c>
      <c r="U44" t="str">
        <f t="shared" ref="U44" si="85">" SG_ " &amp; J44 &amp; " : 63|8@0+ (0.2,0) [0|51] ""A"""</f>
        <v xml:space="preserve"> SG_ current48 : 63|8@0+ (0.2,0) [0|51] "A"</v>
      </c>
    </row>
    <row r="45" spans="1:21" ht="15.75" thickBot="1" x14ac:dyDescent="0.3">
      <c r="A45" s="16" t="s">
        <v>116</v>
      </c>
      <c r="B45" s="8" t="s">
        <v>2</v>
      </c>
      <c r="C45" s="9" t="s">
        <v>3</v>
      </c>
      <c r="D45" s="9" t="s">
        <v>51</v>
      </c>
      <c r="E45" s="9" t="s">
        <v>3</v>
      </c>
      <c r="F45" s="9" t="s">
        <v>51</v>
      </c>
      <c r="G45" s="9" t="s">
        <v>3</v>
      </c>
      <c r="H45" s="9" t="s">
        <v>51</v>
      </c>
      <c r="I45" s="9" t="s">
        <v>3</v>
      </c>
      <c r="J45" s="9" t="s">
        <v>51</v>
      </c>
    </row>
    <row r="46" spans="1:21" ht="26.25" thickBot="1" x14ac:dyDescent="0.3">
      <c r="A46" s="17"/>
      <c r="B46" s="8" t="s">
        <v>4</v>
      </c>
      <c r="C46" s="10" t="s">
        <v>14</v>
      </c>
      <c r="D46" s="13" t="s">
        <v>144</v>
      </c>
      <c r="E46" s="10" t="s">
        <v>14</v>
      </c>
      <c r="F46" s="13" t="s">
        <v>144</v>
      </c>
      <c r="G46" s="10" t="s">
        <v>14</v>
      </c>
      <c r="H46" s="13" t="s">
        <v>144</v>
      </c>
      <c r="I46" s="10" t="s">
        <v>14</v>
      </c>
      <c r="J46" s="13" t="s">
        <v>144</v>
      </c>
    </row>
  </sheetData>
  <mergeCells count="19">
    <mergeCell ref="C4:F4"/>
    <mergeCell ref="G4:J4"/>
    <mergeCell ref="A1:B1"/>
    <mergeCell ref="C2:F2"/>
    <mergeCell ref="G2:J2"/>
    <mergeCell ref="C3:F3"/>
    <mergeCell ref="G3:J3"/>
    <mergeCell ref="G34:H34"/>
    <mergeCell ref="C29:D29"/>
    <mergeCell ref="E29:F29"/>
    <mergeCell ref="G29:J29"/>
    <mergeCell ref="C30:D30"/>
    <mergeCell ref="E30:F30"/>
    <mergeCell ref="G30:J30"/>
    <mergeCell ref="C31:D31"/>
    <mergeCell ref="E31:F31"/>
    <mergeCell ref="G31:J31"/>
    <mergeCell ref="G32:H32"/>
    <mergeCell ref="G33:H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abSelected="1" topLeftCell="A34" workbookViewId="0">
      <selection activeCell="L50" sqref="L50"/>
    </sheetView>
  </sheetViews>
  <sheetFormatPr defaultRowHeight="15" x14ac:dyDescent="0.25"/>
  <cols>
    <col min="12" max="12" width="11.42578125" customWidth="1"/>
    <col min="21" max="21" width="29.85546875" bestFit="1" customWidth="1"/>
    <col min="22" max="22" width="36.5703125" bestFit="1" customWidth="1"/>
    <col min="23" max="23" width="42.28515625" bestFit="1" customWidth="1"/>
    <col min="24" max="24" width="38.5703125" bestFit="1" customWidth="1"/>
    <col min="25" max="25" width="39.5703125" bestFit="1" customWidth="1"/>
  </cols>
  <sheetData>
    <row r="1" spans="1:25" ht="16.5" thickBot="1" x14ac:dyDescent="0.3">
      <c r="A1" s="44"/>
      <c r="B1" s="45"/>
      <c r="C1" s="46" t="s">
        <v>165</v>
      </c>
      <c r="D1" s="47"/>
      <c r="E1" s="48" t="s">
        <v>166</v>
      </c>
      <c r="F1" s="47"/>
      <c r="G1" s="48" t="s">
        <v>167</v>
      </c>
      <c r="H1" s="47"/>
      <c r="I1" s="48" t="s">
        <v>168</v>
      </c>
      <c r="J1" s="47"/>
    </row>
    <row r="2" spans="1:25" ht="16.5" thickBot="1" x14ac:dyDescent="0.3">
      <c r="A2" s="33"/>
      <c r="B2" s="34"/>
      <c r="C2" s="19" t="s">
        <v>169</v>
      </c>
      <c r="D2" s="1" t="s">
        <v>170</v>
      </c>
      <c r="E2" s="19" t="s">
        <v>171</v>
      </c>
      <c r="F2" s="19" t="s">
        <v>172</v>
      </c>
      <c r="G2" s="19" t="s">
        <v>173</v>
      </c>
      <c r="H2" s="19" t="s">
        <v>174</v>
      </c>
      <c r="I2" s="19" t="s">
        <v>175</v>
      </c>
      <c r="J2" s="19" t="s">
        <v>176</v>
      </c>
    </row>
    <row r="3" spans="1:25" ht="15.75" thickBot="1" x14ac:dyDescent="0.3">
      <c r="A3" s="2" t="s">
        <v>156</v>
      </c>
      <c r="B3" s="4" t="s">
        <v>1</v>
      </c>
      <c r="C3" s="41" t="s">
        <v>179</v>
      </c>
      <c r="D3" s="49"/>
      <c r="E3" s="41" t="s">
        <v>284</v>
      </c>
      <c r="F3" s="49"/>
      <c r="G3" s="41" t="s">
        <v>180</v>
      </c>
      <c r="H3" s="49"/>
      <c r="I3" s="41" t="s">
        <v>181</v>
      </c>
      <c r="J3" s="49"/>
      <c r="L3" t="str">
        <f t="shared" ref="L3" si="0">IF(RIGHT(C3)="U","+","-")</f>
        <v>-</v>
      </c>
      <c r="N3" t="str">
        <f t="shared" ref="N3" si="1">IF(RIGHT(E3)="U","+","-")</f>
        <v>-</v>
      </c>
      <c r="P3" t="str">
        <f t="shared" ref="P3" si="2">IF(RIGHT(G3)="U","+","-")</f>
        <v>-</v>
      </c>
      <c r="R3" t="str">
        <f t="shared" ref="R3" si="3">IF(RIGHT(I3)="U","+","-")</f>
        <v>-</v>
      </c>
      <c r="U3" t="str">
        <f>"BO_ " &amp; HEX2DEC(LEFT(A4,3)) &amp; " " &amp; A3 &amp; " :8 LR_F88"</f>
        <v>BO_ 1536 Frame_01 :8 LR_F88</v>
      </c>
      <c r="V3" t="str">
        <f t="shared" ref="V3" si="4">" SG_ "&amp;C3&amp;" : 7|16@0"&amp;L3&amp;" ("&amp;L5&amp;","&amp;M5&amp;") [0|0] """&amp;C4&amp;""""</f>
        <v xml:space="preserve"> SG_ rpm_S : 7|16@0- (1,0) [0|0] "rpm"</v>
      </c>
      <c r="W3" t="str">
        <f t="shared" ref="W3" si="5">" SG_ "&amp;E3&amp;" : 23|16@0"&amp;N3&amp;" ("&amp;N5&amp;","&amp;O5&amp;") [0|0] """&amp;E4&amp;""""</f>
        <v xml:space="preserve"> SG_ ppsDriver_S : 23|16@0- (0.012207,0) [0|0] "%"</v>
      </c>
      <c r="X3" t="str">
        <f t="shared" ref="X3" si="6">" SG_ "&amp;G3&amp;" : 39|16@0"&amp;P3&amp;" ("&amp;P5&amp;","&amp;Q5&amp;") [0|0] """&amp;G4&amp;""""</f>
        <v xml:space="preserve"> SG_ Vbat_S : 39|16@0- (0.001,0) [0|0] "V"</v>
      </c>
      <c r="Y3" t="str">
        <f t="shared" ref="Y3" si="7">" SG_ "&amp;I3&amp;" : 55|16@0"&amp;R3&amp;" ("&amp;R5&amp;","&amp;S5&amp;") [0|0] """&amp;I4&amp;""""</f>
        <v xml:space="preserve"> SG_ longG_S : 55|16@0- (0.001,0) [0|0] "G"</v>
      </c>
    </row>
    <row r="4" spans="1:25" ht="15.75" thickBot="1" x14ac:dyDescent="0.3">
      <c r="A4" s="2" t="s">
        <v>177</v>
      </c>
      <c r="B4" s="4" t="s">
        <v>2</v>
      </c>
      <c r="C4" s="35" t="s">
        <v>182</v>
      </c>
      <c r="D4" s="38"/>
      <c r="E4" s="35" t="s">
        <v>183</v>
      </c>
      <c r="F4" s="38"/>
      <c r="G4" s="35" t="s">
        <v>184</v>
      </c>
      <c r="H4" s="38"/>
      <c r="I4" s="35" t="s">
        <v>185</v>
      </c>
      <c r="J4" s="38"/>
    </row>
    <row r="5" spans="1:25" ht="26.25" thickBot="1" x14ac:dyDescent="0.3">
      <c r="A5" s="20" t="s">
        <v>178</v>
      </c>
      <c r="B5" s="4" t="s">
        <v>4</v>
      </c>
      <c r="C5" s="52" t="s">
        <v>233</v>
      </c>
      <c r="D5" s="53"/>
      <c r="E5" s="52" t="s">
        <v>234</v>
      </c>
      <c r="F5" s="53"/>
      <c r="G5" s="52" t="s">
        <v>236</v>
      </c>
      <c r="H5" s="53"/>
      <c r="I5" s="52" t="s">
        <v>236</v>
      </c>
      <c r="J5" s="53"/>
      <c r="L5" t="str">
        <f t="shared" ref="L5" si="8">IFERROR(LEFT(C5,(FIND("x",C5)-1)),1)</f>
        <v>1</v>
      </c>
      <c r="M5" t="str">
        <f t="shared" ref="M5" si="9">IFERROR(MID(C5,FIND("+",C5)+1,10),0)</f>
        <v>0</v>
      </c>
      <c r="N5" t="str">
        <f t="shared" ref="N5" si="10">IFERROR(LEFT(E5,(FIND("x",E5)-1)),1)</f>
        <v>0.012207</v>
      </c>
      <c r="O5" t="str">
        <f t="shared" ref="O5" si="11">IFERROR(MID(E5,FIND("+",E5)+1,10),0)</f>
        <v>0</v>
      </c>
      <c r="P5" t="str">
        <f t="shared" ref="P5" si="12">IFERROR(LEFT(G5,(FIND("x",G5)-1)),1)</f>
        <v>0.001</v>
      </c>
      <c r="Q5" t="str">
        <f t="shared" ref="Q5" si="13">IFERROR(MID(G5,FIND("+",G5)+1,10),0)</f>
        <v>0</v>
      </c>
      <c r="R5" t="str">
        <f t="shared" ref="R5" si="14">IFERROR(LEFT(I5,(FIND("x",I5)-1)),1)</f>
        <v>0.001</v>
      </c>
      <c r="S5" t="str">
        <f t="shared" ref="S5" si="15">IFERROR(MID(I5,FIND("+",I5)+1,10),0)</f>
        <v>0</v>
      </c>
    </row>
    <row r="6" spans="1:25" ht="22.5" customHeight="1" thickBot="1" x14ac:dyDescent="0.3">
      <c r="A6" s="2" t="s">
        <v>157</v>
      </c>
      <c r="B6" s="4" t="s">
        <v>1</v>
      </c>
      <c r="C6" s="41" t="s">
        <v>285</v>
      </c>
      <c r="D6" s="49"/>
      <c r="E6" s="41" t="s">
        <v>187</v>
      </c>
      <c r="F6" s="49"/>
      <c r="G6" s="50" t="s">
        <v>188</v>
      </c>
      <c r="H6" s="51"/>
      <c r="I6" s="41" t="s">
        <v>87</v>
      </c>
      <c r="J6" s="49"/>
      <c r="L6" t="str">
        <f t="shared" ref="L6" si="16">IF(RIGHT(C6)="U","+","-")</f>
        <v>-</v>
      </c>
      <c r="N6" t="str">
        <f t="shared" ref="N6" si="17">IF(RIGHT(E6)="U","+","-")</f>
        <v>-</v>
      </c>
      <c r="P6" t="str">
        <f t="shared" ref="P6" si="18">IF(RIGHT(G6)="U","+","-")</f>
        <v>-</v>
      </c>
      <c r="R6" t="str">
        <f t="shared" ref="R6" si="19">IF(RIGHT(I6)="U","+","-")</f>
        <v>-</v>
      </c>
      <c r="U6" t="str">
        <f>"BO_ " &amp; HEX2DEC(LEFT(A7,3)) &amp; " " &amp; A6 &amp; " :8 LR_F88"</f>
        <v>BO_ 1537 Frame_02 :8 LR_F88</v>
      </c>
      <c r="V6" t="str">
        <f t="shared" ref="V6" si="20">" SG_ "&amp;C6&amp;" : 7|16@0"&amp;L6&amp;" ("&amp;L8&amp;","&amp;M8&amp;") [0|0] """&amp;C7&amp;""""</f>
        <v xml:space="preserve"> SG_ map1_S : 7|16@0- (1,0) [0|0] "mBar"</v>
      </c>
      <c r="W6" t="str">
        <f t="shared" ref="W6" si="21">" SG_ "&amp;E6&amp;" : 23|16@0"&amp;N6&amp;" ("&amp;N8&amp;","&amp;O8&amp;") [0|0] """&amp;E7&amp;""""</f>
        <v xml:space="preserve"> SG_ prp1_S : 23|16@0- (1,0) [0|0] "mBar"</v>
      </c>
      <c r="X6" t="str">
        <f t="shared" ref="X6" si="22">" SG_ "&amp;G6&amp;" : 39|16@0"&amp;P6&amp;" ("&amp;P8&amp;","&amp;Q8&amp;") [0|0] """&amp;G7&amp;""""</f>
        <v xml:space="preserve"> SG_ turboSpeed1DeSpiked_S : 39|16@0- (0.01,0) [0|0] "kRpm"</v>
      </c>
      <c r="Y6" t="str">
        <f t="shared" ref="Y6" si="23">" SG_ "&amp;I6&amp;" : 55|16@0"&amp;R6&amp;" ("&amp;R8&amp;","&amp;S8&amp;") [0|0] """&amp;I7&amp;""""</f>
        <v xml:space="preserve"> SG_ SPARE : 55|16@0- (1,0) [0|0] ""</v>
      </c>
    </row>
    <row r="7" spans="1:25" ht="15.75" thickBot="1" x14ac:dyDescent="0.3">
      <c r="A7" s="2" t="s">
        <v>186</v>
      </c>
      <c r="B7" s="4" t="s">
        <v>2</v>
      </c>
      <c r="C7" s="35" t="s">
        <v>189</v>
      </c>
      <c r="D7" s="38"/>
      <c r="E7" s="35" t="s">
        <v>189</v>
      </c>
      <c r="F7" s="38"/>
      <c r="G7" s="35" t="s">
        <v>190</v>
      </c>
      <c r="H7" s="38"/>
      <c r="I7" s="35"/>
      <c r="J7" s="38"/>
    </row>
    <row r="8" spans="1:25" ht="26.25" thickBot="1" x14ac:dyDescent="0.3">
      <c r="A8" s="20" t="s">
        <v>178</v>
      </c>
      <c r="B8" s="4" t="s">
        <v>4</v>
      </c>
      <c r="C8" s="52" t="s">
        <v>233</v>
      </c>
      <c r="D8" s="53"/>
      <c r="E8" s="52" t="s">
        <v>233</v>
      </c>
      <c r="F8" s="53"/>
      <c r="G8" s="52" t="s">
        <v>235</v>
      </c>
      <c r="H8" s="53"/>
      <c r="I8" s="52" t="s">
        <v>233</v>
      </c>
      <c r="J8" s="53"/>
      <c r="L8" t="str">
        <f t="shared" ref="L8" si="24">IFERROR(LEFT(C8,(FIND("x",C8)-1)),1)</f>
        <v>1</v>
      </c>
      <c r="M8" t="str">
        <f t="shared" ref="M8" si="25">IFERROR(MID(C8,FIND("+",C8)+1,10),0)</f>
        <v>0</v>
      </c>
      <c r="N8" t="str">
        <f t="shared" ref="N8" si="26">IFERROR(LEFT(E8,(FIND("x",E8)-1)),1)</f>
        <v>1</v>
      </c>
      <c r="O8" t="str">
        <f t="shared" ref="O8" si="27">IFERROR(MID(E8,FIND("+",E8)+1,10),0)</f>
        <v>0</v>
      </c>
      <c r="P8" t="str">
        <f t="shared" ref="P8" si="28">IFERROR(LEFT(G8,(FIND("x",G8)-1)),1)</f>
        <v>0.01</v>
      </c>
      <c r="Q8" t="str">
        <f t="shared" ref="Q8" si="29">IFERROR(MID(G8,FIND("+",G8)+1,10),0)</f>
        <v>0</v>
      </c>
      <c r="R8" t="str">
        <f t="shared" ref="R8" si="30">IFERROR(LEFT(I8,(FIND("x",I8)-1)),1)</f>
        <v>1</v>
      </c>
      <c r="S8" t="str">
        <f t="shared" ref="S8" si="31">IFERROR(MID(I8,FIND("+",I8)+1,10),0)</f>
        <v>0</v>
      </c>
    </row>
    <row r="9" spans="1:25" ht="25.5" customHeight="1" thickBot="1" x14ac:dyDescent="0.3">
      <c r="A9" s="2" t="s">
        <v>158</v>
      </c>
      <c r="B9" s="4" t="s">
        <v>1</v>
      </c>
      <c r="C9" s="41" t="s">
        <v>286</v>
      </c>
      <c r="D9" s="49"/>
      <c r="E9" s="41" t="s">
        <v>192</v>
      </c>
      <c r="F9" s="49"/>
      <c r="G9" s="50" t="s">
        <v>193</v>
      </c>
      <c r="H9" s="51"/>
      <c r="I9" s="41" t="s">
        <v>87</v>
      </c>
      <c r="J9" s="49"/>
      <c r="L9" t="str">
        <f t="shared" ref="L9" si="32">IF(RIGHT(C9)="U","+","-")</f>
        <v>-</v>
      </c>
      <c r="N9" t="str">
        <f t="shared" ref="N9" si="33">IF(RIGHT(E9)="U","+","-")</f>
        <v>-</v>
      </c>
      <c r="P9" t="str">
        <f t="shared" ref="P9" si="34">IF(RIGHT(G9)="U","+","-")</f>
        <v>-</v>
      </c>
      <c r="R9" t="str">
        <f t="shared" ref="R9" si="35">IF(RIGHT(I9)="U","+","-")</f>
        <v>-</v>
      </c>
      <c r="U9" t="str">
        <f>"BO_ " &amp; HEX2DEC(LEFT(A10,3)) &amp; " " &amp; A9 &amp; " :8 LR_F88"</f>
        <v>BO_ 1538 Frame_03 :8 LR_F88</v>
      </c>
      <c r="V9" t="str">
        <f t="shared" ref="V9" si="36">" SG_ "&amp;C9&amp;" : 7|16@0"&amp;L9&amp;" ("&amp;L11&amp;","&amp;M11&amp;") [0|0] """&amp;C10&amp;""""</f>
        <v xml:space="preserve"> SG_ map2_S : 7|16@0- (1,0) [0|0] "mBar"</v>
      </c>
      <c r="W9" t="str">
        <f t="shared" ref="W9" si="37">" SG_ "&amp;E9&amp;" : 23|16@0"&amp;N9&amp;" ("&amp;N11&amp;","&amp;O11&amp;") [0|0] """&amp;E10&amp;""""</f>
        <v xml:space="preserve"> SG_ prp2_S : 23|16@0- (1,0) [0|0] "mBar"</v>
      </c>
      <c r="X9" t="str">
        <f t="shared" ref="X9" si="38">" SG_ "&amp;G9&amp;" : 39|16@0"&amp;P9&amp;" ("&amp;P11&amp;","&amp;Q11&amp;") [0|0] """&amp;G10&amp;""""</f>
        <v xml:space="preserve"> SG_ turboSpeed2DeSpiked_S : 39|16@0- (0.01,0) [0|0] "kRpm"</v>
      </c>
      <c r="Y9" t="str">
        <f t="shared" ref="Y9" si="39">" SG_ "&amp;I9&amp;" : 55|16@0"&amp;R9&amp;" ("&amp;R11&amp;","&amp;S11&amp;") [0|0] """&amp;I10&amp;""""</f>
        <v xml:space="preserve"> SG_ SPARE : 55|16@0- (1,0) [0|0] ""</v>
      </c>
    </row>
    <row r="10" spans="1:25" ht="15.75" thickBot="1" x14ac:dyDescent="0.3">
      <c r="A10" s="2" t="s">
        <v>191</v>
      </c>
      <c r="B10" s="4" t="s">
        <v>2</v>
      </c>
      <c r="C10" s="35" t="s">
        <v>189</v>
      </c>
      <c r="D10" s="38"/>
      <c r="E10" s="35" t="s">
        <v>189</v>
      </c>
      <c r="F10" s="38"/>
      <c r="G10" s="35" t="s">
        <v>190</v>
      </c>
      <c r="H10" s="38"/>
      <c r="I10" s="35"/>
      <c r="J10" s="38"/>
    </row>
    <row r="11" spans="1:25" ht="26.25" thickBot="1" x14ac:dyDescent="0.3">
      <c r="A11" s="2" t="s">
        <v>178</v>
      </c>
      <c r="B11" s="4" t="s">
        <v>4</v>
      </c>
      <c r="C11" s="52" t="s">
        <v>233</v>
      </c>
      <c r="D11" s="53"/>
      <c r="E11" s="52" t="s">
        <v>233</v>
      </c>
      <c r="F11" s="53"/>
      <c r="G11" s="52" t="s">
        <v>235</v>
      </c>
      <c r="H11" s="53"/>
      <c r="I11" s="52" t="s">
        <v>233</v>
      </c>
      <c r="J11" s="53"/>
      <c r="L11" t="str">
        <f t="shared" ref="L11" si="40">IFERROR(LEFT(C11,(FIND("x",C11)-1)),1)</f>
        <v>1</v>
      </c>
      <c r="M11" t="str">
        <f t="shared" ref="M11" si="41">IFERROR(MID(C11,FIND("+",C11)+1,10),0)</f>
        <v>0</v>
      </c>
      <c r="N11" t="str">
        <f t="shared" ref="N11" si="42">IFERROR(LEFT(E11,(FIND("x",E11)-1)),1)</f>
        <v>1</v>
      </c>
      <c r="O11" t="str">
        <f t="shared" ref="O11" si="43">IFERROR(MID(E11,FIND("+",E11)+1,10),0)</f>
        <v>0</v>
      </c>
      <c r="P11" t="str">
        <f t="shared" ref="P11" si="44">IFERROR(LEFT(G11,(FIND("x",G11)-1)),1)</f>
        <v>0.01</v>
      </c>
      <c r="Q11" t="str">
        <f t="shared" ref="Q11" si="45">IFERROR(MID(G11,FIND("+",G11)+1,10),0)</f>
        <v>0</v>
      </c>
      <c r="R11" t="str">
        <f t="shared" ref="R11" si="46">IFERROR(LEFT(I11,(FIND("x",I11)-1)),1)</f>
        <v>1</v>
      </c>
      <c r="S11" t="str">
        <f t="shared" ref="S11" si="47">IFERROR(MID(I11,FIND("+",I11)+1,10),0)</f>
        <v>0</v>
      </c>
    </row>
    <row r="12" spans="1:25" ht="24.75" thickBot="1" x14ac:dyDescent="0.3">
      <c r="A12" s="11" t="s">
        <v>159</v>
      </c>
      <c r="B12" s="4" t="s">
        <v>1</v>
      </c>
      <c r="C12" s="41" t="s">
        <v>196</v>
      </c>
      <c r="D12" s="49"/>
      <c r="E12" s="41" t="s">
        <v>197</v>
      </c>
      <c r="F12" s="49"/>
      <c r="G12" s="41" t="s">
        <v>198</v>
      </c>
      <c r="H12" s="49"/>
      <c r="I12" s="41" t="s">
        <v>87</v>
      </c>
      <c r="J12" s="49"/>
      <c r="L12" t="str">
        <f t="shared" ref="L12" si="48">IF(RIGHT(C12)="U","+","-")</f>
        <v>-</v>
      </c>
      <c r="N12" t="str">
        <f t="shared" ref="N12" si="49">IF(RIGHT(E12)="U","+","-")</f>
        <v>-</v>
      </c>
      <c r="P12" t="str">
        <f t="shared" ref="P12" si="50">IF(RIGHT(G12)="U","+","-")</f>
        <v>-</v>
      </c>
      <c r="R12" t="str">
        <f t="shared" ref="R12" si="51">IF(RIGHT(I12)="U","+","-")</f>
        <v>-</v>
      </c>
      <c r="U12" t="str">
        <f>"BO_ " &amp; HEX2DEC(LEFT(A13,3)) &amp; " " &amp; A12 &amp; " :8 LR_F88"</f>
        <v>BO_ 1539 Frame_04 :8 LR_F88</v>
      </c>
      <c r="V12" t="str">
        <f t="shared" ref="V12" si="52">" SG_ "&amp;C12&amp;" : 7|16@0"&amp;L12&amp;" ("&amp;L14&amp;","&amp;M14&amp;") [0|0] """&amp;C13&amp;""""</f>
        <v xml:space="preserve"> SG_ relFp1_S : 7|16@0- (1,0) [0|0] "mBar"</v>
      </c>
      <c r="W12" t="str">
        <f t="shared" ref="W12" si="53">" SG_ "&amp;E12&amp;" : 23|16@0"&amp;N12&amp;" ("&amp;N14&amp;","&amp;O14&amp;") [0|0] """&amp;E13&amp;""""</f>
        <v xml:space="preserve"> SG_ lam1_S : 23|16@0- (0.001,0) [0|0] "lambda"</v>
      </c>
      <c r="X12" t="str">
        <f t="shared" ref="X12" si="54">" SG_ "&amp;G12&amp;" : 39|16@0"&amp;P12&amp;" ("&amp;P14&amp;","&amp;Q14&amp;") [0|0] """&amp;G13&amp;""""</f>
        <v xml:space="preserve"> SG_ fuelMltCll1_S : 39|16@0- (0.000244,0) [0|0] ""</v>
      </c>
      <c r="Y12" t="str">
        <f t="shared" ref="Y12" si="55">" SG_ "&amp;I12&amp;" : 55|16@0"&amp;R12&amp;" ("&amp;R14&amp;","&amp;S14&amp;") [0|0] """&amp;I13&amp;""""</f>
        <v xml:space="preserve"> SG_ SPARE : 55|16@0- (1,0) [0|0] ""</v>
      </c>
    </row>
    <row r="13" spans="1:25" ht="15.75" thickBot="1" x14ac:dyDescent="0.3">
      <c r="A13" s="2" t="s">
        <v>194</v>
      </c>
      <c r="B13" s="4" t="s">
        <v>2</v>
      </c>
      <c r="C13" s="35" t="s">
        <v>189</v>
      </c>
      <c r="D13" s="38"/>
      <c r="E13" s="35" t="s">
        <v>199</v>
      </c>
      <c r="F13" s="38"/>
      <c r="G13" s="35"/>
      <c r="H13" s="38"/>
      <c r="I13" s="35"/>
      <c r="J13" s="38"/>
    </row>
    <row r="14" spans="1:25" ht="26.25" thickBot="1" x14ac:dyDescent="0.3">
      <c r="A14" s="20" t="s">
        <v>195</v>
      </c>
      <c r="B14" s="4" t="s">
        <v>4</v>
      </c>
      <c r="C14" s="52" t="s">
        <v>233</v>
      </c>
      <c r="D14" s="53"/>
      <c r="E14" s="52" t="s">
        <v>236</v>
      </c>
      <c r="F14" s="53"/>
      <c r="G14" s="52" t="s">
        <v>237</v>
      </c>
      <c r="H14" s="53"/>
      <c r="I14" s="52" t="s">
        <v>233</v>
      </c>
      <c r="J14" s="53"/>
      <c r="L14" t="str">
        <f t="shared" ref="L14" si="56">IFERROR(LEFT(C14,(FIND("x",C14)-1)),1)</f>
        <v>1</v>
      </c>
      <c r="M14" t="str">
        <f t="shared" ref="M14" si="57">IFERROR(MID(C14,FIND("+",C14)+1,10),0)</f>
        <v>0</v>
      </c>
      <c r="N14" t="str">
        <f t="shared" ref="N14" si="58">IFERROR(LEFT(E14,(FIND("x",E14)-1)),1)</f>
        <v>0.001</v>
      </c>
      <c r="O14" t="str">
        <f t="shared" ref="O14" si="59">IFERROR(MID(E14,FIND("+",E14)+1,10),0)</f>
        <v>0</v>
      </c>
      <c r="P14" t="str">
        <f t="shared" ref="P14" si="60">IFERROR(LEFT(G14,(FIND("x",G14)-1)),1)</f>
        <v>0.000244</v>
      </c>
      <c r="Q14" t="str">
        <f t="shared" ref="Q14" si="61">IFERROR(MID(G14,FIND("+",G14)+1,10),0)</f>
        <v>0</v>
      </c>
      <c r="R14" t="str">
        <f t="shared" ref="R14" si="62">IFERROR(LEFT(I14,(FIND("x",I14)-1)),1)</f>
        <v>1</v>
      </c>
      <c r="S14" t="str">
        <f t="shared" ref="S14" si="63">IFERROR(MID(I14,FIND("+",I14)+1,10),0)</f>
        <v>0</v>
      </c>
    </row>
    <row r="15" spans="1:25" ht="24.75" thickBot="1" x14ac:dyDescent="0.3">
      <c r="A15" s="2" t="s">
        <v>160</v>
      </c>
      <c r="B15" s="4" t="s">
        <v>1</v>
      </c>
      <c r="C15" s="41" t="s">
        <v>201</v>
      </c>
      <c r="D15" s="49"/>
      <c r="E15" s="41" t="s">
        <v>202</v>
      </c>
      <c r="F15" s="49"/>
      <c r="G15" s="41" t="s">
        <v>203</v>
      </c>
      <c r="H15" s="49"/>
      <c r="I15" s="41" t="s">
        <v>87</v>
      </c>
      <c r="J15" s="49"/>
      <c r="L15" t="str">
        <f t="shared" ref="L15" si="64">IF(RIGHT(C15)="U","+","-")</f>
        <v>-</v>
      </c>
      <c r="N15" t="str">
        <f t="shared" ref="N15" si="65">IF(RIGHT(E15)="U","+","-")</f>
        <v>-</v>
      </c>
      <c r="P15" t="str">
        <f t="shared" ref="P15" si="66">IF(RIGHT(G15)="U","+","-")</f>
        <v>-</v>
      </c>
      <c r="R15" t="str">
        <f t="shared" ref="R15" si="67">IF(RIGHT(I15)="U","+","-")</f>
        <v>-</v>
      </c>
      <c r="U15" t="str">
        <f>"BO_ " &amp; HEX2DEC(LEFT(A16,3)) &amp; " " &amp; A15 &amp; " :8 LR_F88"</f>
        <v>BO_ 1540 Frame_05 :8 LR_F88</v>
      </c>
      <c r="V15" t="str">
        <f t="shared" ref="V15" si="68">" SG_ "&amp;C15&amp;" : 7|16@0"&amp;L15&amp;" ("&amp;L17&amp;","&amp;M17&amp;") [0|0] """&amp;C16&amp;""""</f>
        <v xml:space="preserve"> SG_ relFp2_S : 7|16@0- (1,0) [0|0] "mBar"</v>
      </c>
      <c r="W15" t="str">
        <f t="shared" ref="W15" si="69">" SG_ "&amp;E15&amp;" : 23|16@0"&amp;N15&amp;" ("&amp;N17&amp;","&amp;O17&amp;") [0|0] """&amp;E16&amp;""""</f>
        <v xml:space="preserve"> SG_ lam2_S : 23|16@0- (0.001,0) [0|0] "lambda"</v>
      </c>
      <c r="X15" t="str">
        <f t="shared" ref="X15" si="70">" SG_ "&amp;G15&amp;" : 39|16@0"&amp;P15&amp;" ("&amp;P17&amp;","&amp;Q17&amp;") [0|0] """&amp;G16&amp;""""</f>
        <v xml:space="preserve"> SG_ fuelMltCll2_S : 39|16@0- (0.000244,0) [0|0] ""</v>
      </c>
      <c r="Y15" t="str">
        <f t="shared" ref="Y15" si="71">" SG_ "&amp;I15&amp;" : 55|16@0"&amp;R15&amp;" ("&amp;R17&amp;","&amp;S17&amp;") [0|0] """&amp;I16&amp;""""</f>
        <v xml:space="preserve"> SG_ SPARE : 55|16@0- (1,0) [0|0] ""</v>
      </c>
    </row>
    <row r="16" spans="1:25" ht="15.75" thickBot="1" x14ac:dyDescent="0.3">
      <c r="A16" s="2" t="s">
        <v>200</v>
      </c>
      <c r="B16" s="4" t="s">
        <v>2</v>
      </c>
      <c r="C16" s="35" t="s">
        <v>189</v>
      </c>
      <c r="D16" s="38"/>
      <c r="E16" s="35" t="s">
        <v>199</v>
      </c>
      <c r="F16" s="38"/>
      <c r="G16" s="35"/>
      <c r="H16" s="38"/>
      <c r="I16" s="35"/>
      <c r="J16" s="38"/>
    </row>
    <row r="17" spans="1:25" ht="26.25" thickBot="1" x14ac:dyDescent="0.3">
      <c r="A17" s="20" t="s">
        <v>195</v>
      </c>
      <c r="B17" s="4" t="s">
        <v>4</v>
      </c>
      <c r="C17" s="52" t="s">
        <v>233</v>
      </c>
      <c r="D17" s="53"/>
      <c r="E17" s="52" t="s">
        <v>236</v>
      </c>
      <c r="F17" s="53"/>
      <c r="G17" s="52" t="s">
        <v>237</v>
      </c>
      <c r="H17" s="53"/>
      <c r="I17" s="52" t="s">
        <v>233</v>
      </c>
      <c r="J17" s="53"/>
      <c r="L17" t="str">
        <f t="shared" ref="L17" si="72">IFERROR(LEFT(C17,(FIND("x",C17)-1)),1)</f>
        <v>1</v>
      </c>
      <c r="M17" t="str">
        <f t="shared" ref="M17" si="73">IFERROR(MID(C17,FIND("+",C17)+1,10),0)</f>
        <v>0</v>
      </c>
      <c r="N17" t="str">
        <f t="shared" ref="N17" si="74">IFERROR(LEFT(E17,(FIND("x",E17)-1)),1)</f>
        <v>0.001</v>
      </c>
      <c r="O17" t="str">
        <f t="shared" ref="O17" si="75">IFERROR(MID(E17,FIND("+",E17)+1,10),0)</f>
        <v>0</v>
      </c>
      <c r="P17" t="str">
        <f t="shared" ref="P17" si="76">IFERROR(LEFT(G17,(FIND("x",G17)-1)),1)</f>
        <v>0.000244</v>
      </c>
      <c r="Q17" t="str">
        <f t="shared" ref="Q17" si="77">IFERROR(MID(G17,FIND("+",G17)+1,10),0)</f>
        <v>0</v>
      </c>
      <c r="R17" t="str">
        <f t="shared" ref="R17" si="78">IFERROR(LEFT(I17,(FIND("x",I17)-1)),1)</f>
        <v>1</v>
      </c>
      <c r="S17" t="str">
        <f t="shared" ref="S17" si="79">IFERROR(MID(I17,FIND("+",I17)+1,10),0)</f>
        <v>0</v>
      </c>
    </row>
    <row r="18" spans="1:25" ht="24.75" thickBot="1" x14ac:dyDescent="0.3">
      <c r="A18" s="2" t="s">
        <v>161</v>
      </c>
      <c r="B18" s="4" t="s">
        <v>1</v>
      </c>
      <c r="C18" s="41" t="s">
        <v>206</v>
      </c>
      <c r="D18" s="49"/>
      <c r="E18" s="41" t="s">
        <v>207</v>
      </c>
      <c r="F18" s="49"/>
      <c r="G18" s="41" t="s">
        <v>208</v>
      </c>
      <c r="H18" s="49"/>
      <c r="I18" s="41" t="s">
        <v>87</v>
      </c>
      <c r="J18" s="49"/>
      <c r="L18" t="str">
        <f t="shared" ref="L18" si="80">IF(RIGHT(C18)="U","+","-")</f>
        <v>-</v>
      </c>
      <c r="N18" t="str">
        <f t="shared" ref="N18" si="81">IF(RIGHT(E18)="U","+","-")</f>
        <v>-</v>
      </c>
      <c r="P18" t="str">
        <f t="shared" ref="P18" si="82">IF(RIGHT(G18)="U","+","-")</f>
        <v>-</v>
      </c>
      <c r="R18" t="str">
        <f t="shared" ref="R18" si="83">IF(RIGHT(I18)="U","+","-")</f>
        <v>-</v>
      </c>
      <c r="U18" t="str">
        <f>"BO_ " &amp; HEX2DEC(LEFT(A19,3)) &amp; " " &amp; A18 &amp; " :8 LR_F88"</f>
        <v>BO_ 1541 Frame_06 :8 LR_F88</v>
      </c>
      <c r="V18" t="str">
        <f t="shared" ref="V18" si="84">" SG_ "&amp;C18&amp;" : 7|16@0"&amp;L18&amp;" ("&amp;L20&amp;","&amp;M20&amp;") [0|0] """&amp;C19&amp;""""</f>
        <v xml:space="preserve"> SG_ act1_S : 7|16@0- (0.1,0) [0|0] "degC"</v>
      </c>
      <c r="W18" t="str">
        <f t="shared" ref="W18" si="85">" SG_ "&amp;E18&amp;" : 23|16@0"&amp;N18&amp;" ("&amp;N20&amp;","&amp;O20&amp;") [0|0] """&amp;E19&amp;""""</f>
        <v xml:space="preserve"> SG_ ect1_S : 23|16@0- (0.1,0) [0|0] "degC"</v>
      </c>
      <c r="X18" t="str">
        <f t="shared" ref="X18" si="86">" SG_ "&amp;G18&amp;" : 39|16@0"&amp;P18&amp;" ("&amp;P20&amp;","&amp;Q20&amp;") [0|0] """&amp;G19&amp;""""</f>
        <v xml:space="preserve"> SG_ egt1_S : 39|16@0- (0.1,0) [0|0] "degC"</v>
      </c>
      <c r="Y18" t="str">
        <f t="shared" ref="Y18" si="87">" SG_ "&amp;I18&amp;" : 55|16@0"&amp;R18&amp;" ("&amp;R20&amp;","&amp;S20&amp;") [0|0] """&amp;I19&amp;""""</f>
        <v xml:space="preserve"> SG_ SPARE : 55|16@0- (1,0) [0|0] ""</v>
      </c>
    </row>
    <row r="19" spans="1:25" ht="15.75" thickBot="1" x14ac:dyDescent="0.3">
      <c r="A19" s="2" t="s">
        <v>204</v>
      </c>
      <c r="B19" s="4" t="s">
        <v>2</v>
      </c>
      <c r="C19" s="35" t="s">
        <v>81</v>
      </c>
      <c r="D19" s="38"/>
      <c r="E19" s="35" t="s">
        <v>81</v>
      </c>
      <c r="F19" s="38"/>
      <c r="G19" s="35" t="s">
        <v>81</v>
      </c>
      <c r="H19" s="38"/>
      <c r="I19" s="35"/>
      <c r="J19" s="38"/>
    </row>
    <row r="20" spans="1:25" ht="26.25" thickBot="1" x14ac:dyDescent="0.3">
      <c r="A20" s="20" t="s">
        <v>205</v>
      </c>
      <c r="B20" s="4" t="s">
        <v>4</v>
      </c>
      <c r="C20" s="52" t="s">
        <v>238</v>
      </c>
      <c r="D20" s="53"/>
      <c r="E20" s="52" t="s">
        <v>238</v>
      </c>
      <c r="F20" s="53"/>
      <c r="G20" s="52" t="s">
        <v>238</v>
      </c>
      <c r="H20" s="53"/>
      <c r="I20" s="52" t="s">
        <v>233</v>
      </c>
      <c r="J20" s="53"/>
      <c r="L20" t="str">
        <f t="shared" ref="L20" si="88">IFERROR(LEFT(C20,(FIND("x",C20)-1)),1)</f>
        <v>0.1</v>
      </c>
      <c r="M20" t="str">
        <f t="shared" ref="M20" si="89">IFERROR(MID(C20,FIND("+",C20)+1,10),0)</f>
        <v>0</v>
      </c>
      <c r="N20" t="str">
        <f t="shared" ref="N20" si="90">IFERROR(LEFT(E20,(FIND("x",E20)-1)),1)</f>
        <v>0.1</v>
      </c>
      <c r="O20" t="str">
        <f t="shared" ref="O20" si="91">IFERROR(MID(E20,FIND("+",E20)+1,10),0)</f>
        <v>0</v>
      </c>
      <c r="P20" t="str">
        <f t="shared" ref="P20" si="92">IFERROR(LEFT(G20,(FIND("x",G20)-1)),1)</f>
        <v>0.1</v>
      </c>
      <c r="Q20" t="str">
        <f t="shared" ref="Q20" si="93">IFERROR(MID(G20,FIND("+",G20)+1,10),0)</f>
        <v>0</v>
      </c>
      <c r="R20" t="str">
        <f t="shared" ref="R20" si="94">IFERROR(LEFT(I20,(FIND("x",I20)-1)),1)</f>
        <v>1</v>
      </c>
      <c r="S20" t="str">
        <f t="shared" ref="S20" si="95">IFERROR(MID(I20,FIND("+",I20)+1,10),0)</f>
        <v>0</v>
      </c>
    </row>
    <row r="21" spans="1:25" ht="24.75" thickBot="1" x14ac:dyDescent="0.3">
      <c r="A21" s="2" t="s">
        <v>162</v>
      </c>
      <c r="B21" s="4" t="s">
        <v>1</v>
      </c>
      <c r="C21" s="41" t="s">
        <v>210</v>
      </c>
      <c r="D21" s="49"/>
      <c r="E21" s="41" t="s">
        <v>211</v>
      </c>
      <c r="F21" s="49"/>
      <c r="G21" s="41" t="s">
        <v>212</v>
      </c>
      <c r="H21" s="49"/>
      <c r="I21" s="41" t="s">
        <v>87</v>
      </c>
      <c r="J21" s="49"/>
      <c r="L21" t="str">
        <f>IF(RIGHT(C21)="U","+","-")</f>
        <v>-</v>
      </c>
      <c r="N21" t="str">
        <f>IF(RIGHT(E21)="U","+","-")</f>
        <v>-</v>
      </c>
      <c r="P21" t="str">
        <f>IF(RIGHT(G21)="U","+","-")</f>
        <v>-</v>
      </c>
      <c r="R21" t="str">
        <f>IF(RIGHT(I21)="U","+","-")</f>
        <v>-</v>
      </c>
      <c r="U21" t="str">
        <f>"BO_ " &amp; HEX2DEC(LEFT(A22,3)) &amp; " " &amp; A21 &amp; " :8 LR_F88"</f>
        <v>BO_ 1542 Frame_07 :8 LR_F88</v>
      </c>
      <c r="V21" t="str">
        <f t="shared" ref="V21" si="96">" SG_ "&amp;C21&amp;" : 7|16@0"&amp;L21&amp;" ("&amp;L23&amp;","&amp;M23&amp;") [0|0] """&amp;C22&amp;""""</f>
        <v xml:space="preserve"> SG_ act2_S : 7|16@0- (0.1,0) [0|0] "degC"</v>
      </c>
      <c r="W21" t="str">
        <f t="shared" ref="W21" si="97">" SG_ "&amp;E21&amp;" : 23|16@0"&amp;N21&amp;" ("&amp;N23&amp;","&amp;O23&amp;") [0|0] """&amp;E22&amp;""""</f>
        <v xml:space="preserve"> SG_ ect2_S : 23|16@0- (0.1,0) [0|0] "degC"</v>
      </c>
      <c r="X21" t="str">
        <f t="shared" ref="X21" si="98">" SG_ "&amp;G21&amp;" : 39|16@0"&amp;P21&amp;" ("&amp;P23&amp;","&amp;Q23&amp;") [0|0] """&amp;G22&amp;""""</f>
        <v xml:space="preserve"> SG_ egt2_S : 39|16@0- (0.1,0) [0|0] "degC"</v>
      </c>
      <c r="Y21" t="str">
        <f t="shared" ref="Y21" si="99">" SG_ "&amp;I21&amp;" : 55|16@0"&amp;R21&amp;" ("&amp;R23&amp;","&amp;S23&amp;") [0|0] """&amp;I22&amp;""""</f>
        <v xml:space="preserve"> SG_ SPARE : 55|16@0- (1,0) [0|0] "-"</v>
      </c>
    </row>
    <row r="22" spans="1:25" ht="15.75" thickBot="1" x14ac:dyDescent="0.3">
      <c r="A22" s="2" t="s">
        <v>209</v>
      </c>
      <c r="B22" s="4" t="s">
        <v>2</v>
      </c>
      <c r="C22" s="35" t="s">
        <v>81</v>
      </c>
      <c r="D22" s="38"/>
      <c r="E22" s="35" t="s">
        <v>81</v>
      </c>
      <c r="F22" s="38"/>
      <c r="G22" s="35" t="s">
        <v>81</v>
      </c>
      <c r="H22" s="38"/>
      <c r="I22" s="35" t="s">
        <v>3</v>
      </c>
      <c r="J22" s="38"/>
    </row>
    <row r="23" spans="1:25" ht="26.25" thickBot="1" x14ac:dyDescent="0.3">
      <c r="A23" s="20" t="s">
        <v>205</v>
      </c>
      <c r="B23" s="4" t="s">
        <v>4</v>
      </c>
      <c r="C23" s="52" t="s">
        <v>238</v>
      </c>
      <c r="D23" s="53"/>
      <c r="E23" s="52" t="s">
        <v>238</v>
      </c>
      <c r="F23" s="53"/>
      <c r="G23" s="52" t="s">
        <v>238</v>
      </c>
      <c r="H23" s="53"/>
      <c r="I23" s="52" t="s">
        <v>233</v>
      </c>
      <c r="J23" s="53"/>
      <c r="L23" t="str">
        <f t="shared" ref="L23" si="100">IFERROR(LEFT(C23,(FIND("x",C23)-1)),1)</f>
        <v>0.1</v>
      </c>
      <c r="M23" t="str">
        <f t="shared" ref="M23" si="101">IFERROR(MID(C23,FIND("+",C23)+1,10),0)</f>
        <v>0</v>
      </c>
      <c r="N23" t="str">
        <f t="shared" ref="N23" si="102">IFERROR(LEFT(E23,(FIND("x",E23)-1)),1)</f>
        <v>0.1</v>
      </c>
      <c r="O23" t="str">
        <f t="shared" ref="O23" si="103">IFERROR(MID(E23,FIND("+",E23)+1,10),0)</f>
        <v>0</v>
      </c>
      <c r="P23" t="str">
        <f t="shared" ref="P23" si="104">IFERROR(LEFT(G23,(FIND("x",G23)-1)),1)</f>
        <v>0.1</v>
      </c>
      <c r="Q23" t="str">
        <f t="shared" ref="Q23" si="105">IFERROR(MID(G23,FIND("+",G23)+1,10),0)</f>
        <v>0</v>
      </c>
      <c r="R23" t="str">
        <f t="shared" ref="R23" si="106">IFERROR(LEFT(I23,(FIND("x",I23)-1)),1)</f>
        <v>1</v>
      </c>
      <c r="S23" t="str">
        <f t="shared" ref="S23" si="107">IFERROR(MID(I23,FIND("+",I23)+1,10),0)</f>
        <v>0</v>
      </c>
    </row>
    <row r="24" spans="1:25" ht="24.75" thickBot="1" x14ac:dyDescent="0.3">
      <c r="A24" s="2" t="s">
        <v>163</v>
      </c>
      <c r="B24" s="4" t="s">
        <v>1</v>
      </c>
      <c r="C24" s="41" t="s">
        <v>214</v>
      </c>
      <c r="D24" s="49"/>
      <c r="E24" s="41" t="s">
        <v>215</v>
      </c>
      <c r="F24" s="49"/>
      <c r="G24" s="41" t="s">
        <v>216</v>
      </c>
      <c r="H24" s="49"/>
      <c r="I24" s="41" t="s">
        <v>217</v>
      </c>
      <c r="J24" s="49"/>
      <c r="L24" t="str">
        <f t="shared" ref="L24" si="108">IF(RIGHT(C24)="U","+","-")</f>
        <v>-</v>
      </c>
      <c r="N24" t="str">
        <f t="shared" ref="N24" si="109">IF(RIGHT(E24)="U","+","-")</f>
        <v>-</v>
      </c>
      <c r="P24" t="str">
        <f t="shared" ref="P24" si="110">IF(RIGHT(G24)="U","+","-")</f>
        <v>-</v>
      </c>
      <c r="R24" t="str">
        <f t="shared" ref="R24" si="111">IF(RIGHT(I24)="U","+","-")</f>
        <v>-</v>
      </c>
      <c r="U24" t="str">
        <f>"BO_ " &amp; HEX2DEC(LEFT(A25,3)) &amp; " " &amp; A24 &amp; " :8 LR_F88"</f>
        <v>BO_ 1543 Frame_08 :8 LR_F88</v>
      </c>
      <c r="V24" t="str">
        <f t="shared" ref="V24" si="112">" SG_ "&amp;C24&amp;" : 7|16@0"&amp;L24&amp;" ("&amp;L26&amp;","&amp;M26&amp;") [0|0] """&amp;C25&amp;""""</f>
        <v xml:space="preserve"> SG_ ccp1_S : 7|16@0- (1,0) [0|0] "mBar"</v>
      </c>
      <c r="W24" t="str">
        <f t="shared" ref="W24" si="113">" SG_ "&amp;E24&amp;" : 23|16@0"&amp;N24&amp;" ("&amp;N26&amp;","&amp;O26&amp;") [0|0] """&amp;E25&amp;""""</f>
        <v xml:space="preserve"> SG_ ccp2_S : 23|16@0- (1,0) [0|0] "mBar"</v>
      </c>
      <c r="X24" t="str">
        <f t="shared" ref="X24" si="114">" SG_ "&amp;G24&amp;" : 39|16@0"&amp;P24&amp;" ("&amp;P26&amp;","&amp;Q26&amp;") [0|0] """&amp;G25&amp;""""</f>
        <v xml:space="preserve"> SG_ ccp3_S : 39|16@0- (1,0) [0|0] "mBar"</v>
      </c>
      <c r="Y24" t="str">
        <f t="shared" ref="Y24" si="115">" SG_ "&amp;I24&amp;" : 55|16@0"&amp;R24&amp;" ("&amp;R26&amp;","&amp;S26&amp;") [0|0] """&amp;I25&amp;""""</f>
        <v xml:space="preserve"> SG_ ccp4_S : 55|16@0- (1,0) [0|0] "mBar"</v>
      </c>
    </row>
    <row r="25" spans="1:25" ht="15.75" thickBot="1" x14ac:dyDescent="0.3">
      <c r="A25" s="2" t="s">
        <v>213</v>
      </c>
      <c r="B25" s="4" t="s">
        <v>2</v>
      </c>
      <c r="C25" s="35" t="s">
        <v>189</v>
      </c>
      <c r="D25" s="38"/>
      <c r="E25" s="35" t="s">
        <v>189</v>
      </c>
      <c r="F25" s="38"/>
      <c r="G25" s="35" t="s">
        <v>189</v>
      </c>
      <c r="H25" s="38"/>
      <c r="I25" s="35" t="s">
        <v>189</v>
      </c>
      <c r="J25" s="38"/>
    </row>
    <row r="26" spans="1:25" ht="26.25" thickBot="1" x14ac:dyDescent="0.3">
      <c r="A26" s="20" t="s">
        <v>205</v>
      </c>
      <c r="B26" s="4" t="s">
        <v>4</v>
      </c>
      <c r="C26" s="52" t="s">
        <v>233</v>
      </c>
      <c r="D26" s="53"/>
      <c r="E26" s="52" t="s">
        <v>233</v>
      </c>
      <c r="F26" s="53"/>
      <c r="G26" s="52" t="s">
        <v>233</v>
      </c>
      <c r="H26" s="53"/>
      <c r="I26" s="52" t="s">
        <v>233</v>
      </c>
      <c r="J26" s="53"/>
      <c r="L26" t="str">
        <f t="shared" ref="L26" si="116">IFERROR(LEFT(C26,(FIND("x",C26)-1)),1)</f>
        <v>1</v>
      </c>
      <c r="M26" t="str">
        <f t="shared" ref="M26" si="117">IFERROR(MID(C26,FIND("+",C26)+1,10),0)</f>
        <v>0</v>
      </c>
      <c r="N26" t="str">
        <f t="shared" ref="N26" si="118">IFERROR(LEFT(E26,(FIND("x",E26)-1)),1)</f>
        <v>1</v>
      </c>
      <c r="O26" t="str">
        <f t="shared" ref="O26" si="119">IFERROR(MID(E26,FIND("+",E26)+1,10),0)</f>
        <v>0</v>
      </c>
      <c r="P26" t="str">
        <f t="shared" ref="P26" si="120">IFERROR(LEFT(G26,(FIND("x",G26)-1)),1)</f>
        <v>1</v>
      </c>
      <c r="Q26" t="str">
        <f t="shared" ref="Q26" si="121">IFERROR(MID(G26,FIND("+",G26)+1,10),0)</f>
        <v>0</v>
      </c>
      <c r="R26" t="str">
        <f t="shared" ref="R26" si="122">IFERROR(LEFT(I26,(FIND("x",I26)-1)),1)</f>
        <v>1</v>
      </c>
      <c r="S26" t="str">
        <f t="shared" ref="S26" si="123">IFERROR(MID(I26,FIND("+",I26)+1,10),0)</f>
        <v>0</v>
      </c>
    </row>
    <row r="27" spans="1:25" ht="24.75" thickBot="1" x14ac:dyDescent="0.3">
      <c r="A27" s="2" t="s">
        <v>164</v>
      </c>
      <c r="B27" s="4" t="s">
        <v>1</v>
      </c>
      <c r="C27" s="41" t="s">
        <v>219</v>
      </c>
      <c r="D27" s="49"/>
      <c r="E27" s="41" t="s">
        <v>220</v>
      </c>
      <c r="F27" s="49"/>
      <c r="G27" s="41" t="s">
        <v>221</v>
      </c>
      <c r="H27" s="49"/>
      <c r="I27" s="41" t="s">
        <v>222</v>
      </c>
      <c r="J27" s="49"/>
      <c r="L27" t="str">
        <f t="shared" ref="L27" si="124">IF(RIGHT(C27)="U","+","-")</f>
        <v>-</v>
      </c>
      <c r="N27" t="str">
        <f t="shared" ref="N27" si="125">IF(RIGHT(E27)="U","+","-")</f>
        <v>-</v>
      </c>
      <c r="P27" t="str">
        <f t="shared" ref="P27" si="126">IF(RIGHT(G27)="U","+","-")</f>
        <v>-</v>
      </c>
      <c r="R27" t="str">
        <f t="shared" ref="R27" si="127">IF(RIGHT(I27)="U","+","-")</f>
        <v>-</v>
      </c>
      <c r="U27" t="str">
        <f>"BO_ " &amp; HEX2DEC(LEFT(A28,3)) &amp; " " &amp; A27 &amp; " :8 LR_F88"</f>
        <v>BO_ 1544 Frame_09 :8 LR_F88</v>
      </c>
      <c r="V27" t="str">
        <f t="shared" ref="V27" si="128">" SG_ "&amp;C27&amp;" : 7|16@0"&amp;L27&amp;" ("&amp;L29&amp;","&amp;M29&amp;") [0|0] """&amp;C28&amp;""""</f>
        <v xml:space="preserve"> SG_ eop1_S : 7|16@0- (1,0) [0|0] "mBar"</v>
      </c>
      <c r="W27" t="str">
        <f t="shared" ref="W27" si="129">" SG_ "&amp;E27&amp;" : 23|16@0"&amp;N27&amp;" ("&amp;N29&amp;","&amp;O29&amp;") [0|0] """&amp;E28&amp;""""</f>
        <v xml:space="preserve"> SG_ eop2_S : 23|16@0- (1,0) [0|0] "mBar"</v>
      </c>
      <c r="X27" t="str">
        <f t="shared" ref="X27" si="130">" SG_ "&amp;G27&amp;" : 39|16@0"&amp;P27&amp;" ("&amp;P29&amp;","&amp;Q29&amp;") [0|0] """&amp;G28&amp;""""</f>
        <v xml:space="preserve"> SG_ eop3_S : 39|16@0- (1,0) [0|0] "mBar"</v>
      </c>
      <c r="Y27" t="str">
        <f t="shared" ref="Y27" si="131">" SG_ "&amp;I27&amp;" : 55|16@0"&amp;R27&amp;" ("&amp;R29&amp;","&amp;S29&amp;") [0|0] """&amp;I28&amp;""""</f>
        <v xml:space="preserve"> SG_ eop4_S : 55|16@0- (1,0) [0|0] "mBar"</v>
      </c>
    </row>
    <row r="28" spans="1:25" ht="15.75" thickBot="1" x14ac:dyDescent="0.3">
      <c r="A28" s="2" t="s">
        <v>218</v>
      </c>
      <c r="B28" s="4" t="s">
        <v>2</v>
      </c>
      <c r="C28" s="35" t="s">
        <v>189</v>
      </c>
      <c r="D28" s="38"/>
      <c r="E28" s="35" t="s">
        <v>189</v>
      </c>
      <c r="F28" s="38"/>
      <c r="G28" s="35" t="s">
        <v>189</v>
      </c>
      <c r="H28" s="38"/>
      <c r="I28" s="35" t="s">
        <v>189</v>
      </c>
      <c r="J28" s="38"/>
    </row>
    <row r="29" spans="1:25" ht="26.25" thickBot="1" x14ac:dyDescent="0.3">
      <c r="A29" s="20" t="s">
        <v>195</v>
      </c>
      <c r="B29" s="4" t="s">
        <v>4</v>
      </c>
      <c r="C29" s="52" t="s">
        <v>233</v>
      </c>
      <c r="D29" s="53"/>
      <c r="E29" s="52" t="s">
        <v>233</v>
      </c>
      <c r="F29" s="53"/>
      <c r="G29" s="52" t="s">
        <v>233</v>
      </c>
      <c r="H29" s="53"/>
      <c r="I29" s="52" t="s">
        <v>233</v>
      </c>
      <c r="J29" s="53"/>
      <c r="L29" t="str">
        <f t="shared" ref="L29" si="132">IFERROR(LEFT(C29,(FIND("x",C29)-1)),1)</f>
        <v>1</v>
      </c>
      <c r="M29" t="str">
        <f t="shared" ref="M29" si="133">IFERROR(MID(C29,FIND("+",C29)+1,10),0)</f>
        <v>0</v>
      </c>
      <c r="N29" t="str">
        <f t="shared" ref="N29" si="134">IFERROR(LEFT(E29,(FIND("x",E29)-1)),1)</f>
        <v>1</v>
      </c>
      <c r="O29" t="str">
        <f t="shared" ref="O29" si="135">IFERROR(MID(E29,FIND("+",E29)+1,10),0)</f>
        <v>0</v>
      </c>
      <c r="P29" t="str">
        <f t="shared" ref="P29" si="136">IFERROR(LEFT(G29,(FIND("x",G29)-1)),1)</f>
        <v>1</v>
      </c>
      <c r="Q29" t="str">
        <f t="shared" ref="Q29" si="137">IFERROR(MID(G29,FIND("+",G29)+1,10),0)</f>
        <v>0</v>
      </c>
      <c r="R29" t="str">
        <f t="shared" ref="R29" si="138">IFERROR(LEFT(I29,(FIND("x",I29)-1)),1)</f>
        <v>1</v>
      </c>
      <c r="S29" t="str">
        <f t="shared" ref="S29" si="139">IFERROR(MID(I29,FIND("+",I29)+1,10),0)</f>
        <v>0</v>
      </c>
    </row>
    <row r="30" spans="1:25" ht="15.75" thickBot="1" x14ac:dyDescent="0.3">
      <c r="A30" s="2" t="s">
        <v>126</v>
      </c>
      <c r="B30" s="4" t="s">
        <v>1</v>
      </c>
      <c r="C30" s="41" t="s">
        <v>224</v>
      </c>
      <c r="D30" s="49"/>
      <c r="E30" s="41" t="s">
        <v>225</v>
      </c>
      <c r="F30" s="49"/>
      <c r="G30" s="41" t="s">
        <v>226</v>
      </c>
      <c r="H30" s="49"/>
      <c r="I30" s="41" t="s">
        <v>227</v>
      </c>
      <c r="J30" s="49"/>
      <c r="L30" t="str">
        <f t="shared" ref="L30" si="140">IF(RIGHT(C30)="U","+","-")</f>
        <v>-</v>
      </c>
      <c r="N30" t="str">
        <f t="shared" ref="N30" si="141">IF(RIGHT(E30)="U","+","-")</f>
        <v>-</v>
      </c>
      <c r="P30" t="str">
        <f t="shared" ref="P30" si="142">IF(RIGHT(G30)="U","+","-")</f>
        <v>-</v>
      </c>
      <c r="R30" t="str">
        <f t="shared" ref="R30" si="143">IF(RIGHT(I30)="U","+","-")</f>
        <v>-</v>
      </c>
      <c r="U30" t="str">
        <f>"BO_ " &amp; HEX2DEC(LEFT(A31,3)) &amp; " " &amp; A30 &amp; " :8 LR_F88"</f>
        <v>BO_ 1545 Frame_10 :8 LR_F88</v>
      </c>
      <c r="V30" t="str">
        <f t="shared" ref="V30" si="144">" SG_ "&amp;C30&amp;" : 7|16@0"&amp;L30&amp;" ("&amp;L32&amp;","&amp;M32&amp;") [0|0] """&amp;C31&amp;""""</f>
        <v xml:space="preserve"> SG_ eot_S : 7|16@0- (0.1,0) [0|0] "degC"</v>
      </c>
      <c r="W30" t="str">
        <f t="shared" ref="W30" si="145">" SG_ "&amp;E30&amp;" : 23|16@0"&amp;N30&amp;" ("&amp;N32&amp;","&amp;O32&amp;") [0|0] """&amp;E31&amp;""""</f>
        <v xml:space="preserve"> SG_ ft1_S : 23|16@0- (0.1,0) [0|0] "degC"</v>
      </c>
      <c r="X30" t="str">
        <f t="shared" ref="X30" si="146">" SG_ "&amp;G30&amp;" : 39|16@0"&amp;P30&amp;" ("&amp;P32&amp;","&amp;Q32&amp;") [0|0] """&amp;G31&amp;""""</f>
        <v xml:space="preserve"> SG_ ecp_S : 39|16@0- (1,0) [0|0] "mBar"</v>
      </c>
      <c r="Y30" t="str">
        <f t="shared" ref="Y30" si="147">" SG_ "&amp;I30&amp;" : 55|16@0"&amp;R30&amp;" ("&amp;R32&amp;","&amp;S32&amp;") [0|0] """&amp;I31&amp;""""</f>
        <v xml:space="preserve"> SG_ bap_S : 55|16@0- (1,0) [0|0] "mBar"</v>
      </c>
    </row>
    <row r="31" spans="1:25" ht="15.75" thickBot="1" x14ac:dyDescent="0.3">
      <c r="A31" s="2" t="s">
        <v>223</v>
      </c>
      <c r="B31" s="4" t="s">
        <v>2</v>
      </c>
      <c r="C31" s="35" t="s">
        <v>81</v>
      </c>
      <c r="D31" s="38"/>
      <c r="E31" s="35" t="s">
        <v>81</v>
      </c>
      <c r="F31" s="38"/>
      <c r="G31" s="35" t="s">
        <v>189</v>
      </c>
      <c r="H31" s="38"/>
      <c r="I31" s="35" t="s">
        <v>189</v>
      </c>
      <c r="J31" s="38"/>
    </row>
    <row r="32" spans="1:25" ht="26.25" thickBot="1" x14ac:dyDescent="0.3">
      <c r="A32" s="20" t="s">
        <v>205</v>
      </c>
      <c r="B32" s="4" t="s">
        <v>4</v>
      </c>
      <c r="C32" s="52" t="s">
        <v>238</v>
      </c>
      <c r="D32" s="53"/>
      <c r="E32" s="52" t="s">
        <v>238</v>
      </c>
      <c r="F32" s="53"/>
      <c r="G32" s="52" t="s">
        <v>233</v>
      </c>
      <c r="H32" s="53"/>
      <c r="I32" s="52" t="s">
        <v>233</v>
      </c>
      <c r="J32" s="53"/>
      <c r="L32" t="str">
        <f t="shared" ref="L32" si="148">IFERROR(LEFT(C32,(FIND("x",C32)-1)),1)</f>
        <v>0.1</v>
      </c>
      <c r="M32" t="str">
        <f t="shared" ref="M32" si="149">IFERROR(MID(C32,FIND("+",C32)+1,10),0)</f>
        <v>0</v>
      </c>
      <c r="N32" t="str">
        <f t="shared" ref="N32" si="150">IFERROR(LEFT(E32,(FIND("x",E32)-1)),1)</f>
        <v>0.1</v>
      </c>
      <c r="O32" t="str">
        <f t="shared" ref="O32" si="151">IFERROR(MID(E32,FIND("+",E32)+1,10),0)</f>
        <v>0</v>
      </c>
      <c r="P32" t="str">
        <f t="shared" ref="P32" si="152">IFERROR(LEFT(G32,(FIND("x",G32)-1)),1)</f>
        <v>1</v>
      </c>
      <c r="Q32" t="str">
        <f t="shared" ref="Q32" si="153">IFERROR(MID(G32,FIND("+",G32)+1,10),0)</f>
        <v>0</v>
      </c>
      <c r="R32" t="str">
        <f t="shared" ref="R32" si="154">IFERROR(LEFT(I32,(FIND("x",I32)-1)),1)</f>
        <v>1</v>
      </c>
      <c r="S32" t="str">
        <f t="shared" ref="S32" si="155">IFERROR(MID(I32,FIND("+",I32)+1,10),0)</f>
        <v>0</v>
      </c>
    </row>
    <row r="33" spans="1:25" ht="15.75" thickBot="1" x14ac:dyDescent="0.3">
      <c r="A33" s="2" t="s">
        <v>127</v>
      </c>
      <c r="B33" s="4" t="s">
        <v>1</v>
      </c>
      <c r="C33" s="41" t="s">
        <v>229</v>
      </c>
      <c r="D33" s="49"/>
      <c r="E33" s="41" t="s">
        <v>230</v>
      </c>
      <c r="F33" s="49"/>
      <c r="G33" s="41" t="s">
        <v>231</v>
      </c>
      <c r="H33" s="49"/>
      <c r="I33" s="41" t="s">
        <v>232</v>
      </c>
      <c r="J33" s="49"/>
      <c r="L33" t="str">
        <f t="shared" ref="L33" si="156">IF(RIGHT(C33)="U","+","-")</f>
        <v>+</v>
      </c>
      <c r="N33" t="str">
        <f t="shared" ref="N33" si="157">IF(RIGHT(E33)="U","+","-")</f>
        <v>+</v>
      </c>
      <c r="P33" t="str">
        <f t="shared" ref="P33" si="158">IF(RIGHT(G33)="U","+","-")</f>
        <v>+</v>
      </c>
      <c r="R33" t="str">
        <f t="shared" ref="R33" si="159">IF(RIGHT(I33)="U","+","-")</f>
        <v>+</v>
      </c>
      <c r="U33" t="str">
        <f>"BO_ " &amp; HEX2DEC(LEFT(A34,3)) &amp; " " &amp; A33 &amp; " :8 LR_F88"</f>
        <v>BO_ 1546 Frame_11 :8 LR_F88</v>
      </c>
      <c r="V33" t="str">
        <f t="shared" ref="V33" si="160">" SG_ "&amp;C33&amp;" : 7|16@0"&amp;L33&amp;" ("&amp;L35&amp;","&amp;M35&amp;") [0|0] """&amp;C34&amp;""""</f>
        <v xml:space="preserve"> SG_ engineEnable_U : 7|16@0+ (1,0) [0|0] ""</v>
      </c>
      <c r="W33" t="str">
        <f t="shared" ref="W33" si="161">" SG_ "&amp;E33&amp;" : 23|16@0"&amp;N33&amp;" ("&amp;N35&amp;","&amp;O35&amp;") [0|0] """&amp;E34&amp;""""</f>
        <v xml:space="preserve"> SG_ calSelect_U : 23|16@0+ (1,1) [0|0] ""</v>
      </c>
      <c r="X33" t="str">
        <f t="shared" ref="X33" si="162">" SG_ "&amp;G33&amp;" : 39|16@0"&amp;P33&amp;" ("&amp;P35&amp;","&amp;Q35&amp;") [0|0] """&amp;G34&amp;""""</f>
        <v xml:space="preserve"> SG_ tcSelect_U : 39|16@0+ (1,1) [0|0] ""</v>
      </c>
      <c r="Y33" t="str">
        <f>" SG_ "&amp;I33&amp;" : 55|16@0"&amp;R33&amp;" ("&amp;R35&amp;","&amp;S35&amp;") [0|0] """&amp;I34&amp;""""</f>
        <v xml:space="preserve"> SG_ pitSwitch_U : 55|16@0+ (1,0) [0|0] ""</v>
      </c>
    </row>
    <row r="34" spans="1:25" ht="15.75" thickBot="1" x14ac:dyDescent="0.3">
      <c r="A34" s="2" t="s">
        <v>228</v>
      </c>
      <c r="B34" s="4" t="s">
        <v>2</v>
      </c>
      <c r="C34" s="35"/>
      <c r="D34" s="38"/>
      <c r="E34" s="35"/>
      <c r="F34" s="38"/>
      <c r="G34" s="35"/>
      <c r="H34" s="38"/>
      <c r="I34" s="35"/>
      <c r="J34" s="38"/>
    </row>
    <row r="35" spans="1:25" ht="26.25" thickBot="1" x14ac:dyDescent="0.3">
      <c r="A35" s="20" t="s">
        <v>205</v>
      </c>
      <c r="B35" s="4" t="s">
        <v>4</v>
      </c>
      <c r="C35" s="52" t="s">
        <v>240</v>
      </c>
      <c r="D35" s="53"/>
      <c r="E35" s="52" t="s">
        <v>239</v>
      </c>
      <c r="F35" s="53"/>
      <c r="G35" s="52" t="s">
        <v>239</v>
      </c>
      <c r="H35" s="53"/>
      <c r="I35" s="52" t="s">
        <v>240</v>
      </c>
      <c r="J35" s="53"/>
      <c r="L35">
        <f t="shared" ref="L35" si="163">IFERROR(LEFT(C35,(FIND("x",C35)-1)),1)</f>
        <v>1</v>
      </c>
      <c r="M35">
        <f t="shared" ref="M35" si="164">IFERROR(MID(C35,FIND("+",C35)+1,10),0)</f>
        <v>0</v>
      </c>
      <c r="N35" t="str">
        <f t="shared" ref="N35" si="165">IFERROR(LEFT(E35,(FIND("x",E35)-1)),1)</f>
        <v>1</v>
      </c>
      <c r="O35" t="str">
        <f t="shared" ref="O35" si="166">IFERROR(MID(E35,FIND("+",E35)+1,10),0)</f>
        <v>1</v>
      </c>
      <c r="P35" t="str">
        <f t="shared" ref="P35" si="167">IFERROR(LEFT(G35,(FIND("x",G35)-1)),1)</f>
        <v>1</v>
      </c>
      <c r="Q35" t="str">
        <f t="shared" ref="Q35" si="168">IFERROR(MID(G35,FIND("+",G35)+1,10),0)</f>
        <v>1</v>
      </c>
      <c r="R35">
        <f t="shared" ref="R35" si="169">IFERROR(LEFT(I35,(FIND("x",I35)-1)),1)</f>
        <v>1</v>
      </c>
      <c r="S35">
        <f t="shared" ref="S35" si="170">IFERROR(MID(I35,FIND("+",I35)+1,10),0)</f>
        <v>0</v>
      </c>
    </row>
    <row r="36" spans="1:25" ht="39" customHeight="1" thickBot="1" x14ac:dyDescent="0.3">
      <c r="A36" s="11" t="s">
        <v>128</v>
      </c>
      <c r="B36" s="21" t="s">
        <v>1</v>
      </c>
      <c r="C36" s="41" t="s">
        <v>242</v>
      </c>
      <c r="D36" s="37"/>
      <c r="E36" s="37" t="s">
        <v>243</v>
      </c>
      <c r="F36" s="37"/>
      <c r="G36" s="37" t="s">
        <v>244</v>
      </c>
      <c r="H36" s="37"/>
      <c r="I36" s="37" t="s">
        <v>245</v>
      </c>
      <c r="J36" s="37"/>
      <c r="L36" t="str">
        <f t="shared" ref="L36" si="171">IF(RIGHT(C36)="U","+","-")</f>
        <v>+</v>
      </c>
      <c r="N36" t="str">
        <f t="shared" ref="N36" si="172">IF(RIGHT(E36)="U","+","-")</f>
        <v>+</v>
      </c>
      <c r="P36" t="str">
        <f t="shared" ref="P36" si="173">IF(RIGHT(G36)="U","+","-")</f>
        <v>+</v>
      </c>
      <c r="R36" t="str">
        <f t="shared" ref="R36" si="174">IF(RIGHT(I36)="U","+","-")</f>
        <v>+</v>
      </c>
      <c r="U36" t="str">
        <f>"BO_ " &amp; HEX2DEC(LEFT(A37,3)) &amp; " " &amp; A36 &amp; " :8 LR_F88"</f>
        <v>BO_ 1547 Frame_12 :8 LR_F88</v>
      </c>
      <c r="V36" t="str">
        <f t="shared" ref="V36" si="175">" SG_ "&amp;C36&amp;" : 7|16@0"&amp;L36&amp;" ("&amp;L38&amp;","&amp;M38&amp;") [0|0] """&amp;C37&amp;""""</f>
        <v xml:space="preserve"> SG_ clutchSwitch_U : 7|16@0+ (1,0) [0|0] ""</v>
      </c>
      <c r="W36" t="str">
        <f t="shared" ref="W36" si="176">" SG_ "&amp;E36&amp;" : 23|16@0"&amp;N36&amp;" ("&amp;N38&amp;","&amp;O38&amp;") [0|0] """&amp;E37&amp;""""</f>
        <v xml:space="preserve"> SG_ manAutoSwitch_U : 23|16@0+ (1,0) [0|0] ""</v>
      </c>
      <c r="X36" t="str">
        <f t="shared" ref="X36" si="177">" SG_ "&amp;G36&amp;" : 39|16@0"&amp;P36&amp;" ("&amp;P38&amp;","&amp;Q38&amp;") [0|0] """&amp;G37&amp;""""</f>
        <v xml:space="preserve"> SG_ wow_U : 39|16@0+ (1,0) [0|0] ""</v>
      </c>
      <c r="Y36" t="str">
        <f t="shared" ref="Y36" si="178">" SG_ "&amp;I36&amp;" : 55|16@0"&amp;R36&amp;" ("&amp;R38&amp;","&amp;S38&amp;") [0|0] """&amp;I37&amp;""""</f>
        <v xml:space="preserve"> SG_ autoStartDate_U : 55|16@0+ (1,0) [0|0] ""</v>
      </c>
    </row>
    <row r="37" spans="1:25" ht="15.75" thickBot="1" x14ac:dyDescent="0.3">
      <c r="A37" s="2" t="s">
        <v>241</v>
      </c>
      <c r="B37" s="4" t="s">
        <v>2</v>
      </c>
      <c r="C37" s="35"/>
      <c r="D37" s="36"/>
      <c r="E37" s="38"/>
      <c r="F37" s="38"/>
      <c r="G37" s="35"/>
      <c r="H37" s="36"/>
      <c r="I37" s="38"/>
      <c r="J37" s="38"/>
    </row>
    <row r="38" spans="1:25" ht="26.25" thickBot="1" x14ac:dyDescent="0.3">
      <c r="A38" s="20" t="s">
        <v>205</v>
      </c>
      <c r="B38" s="4" t="s">
        <v>4</v>
      </c>
      <c r="C38" s="35" t="s">
        <v>240</v>
      </c>
      <c r="D38" s="36"/>
      <c r="E38" s="36" t="s">
        <v>240</v>
      </c>
      <c r="F38" s="36"/>
      <c r="G38" s="36" t="s">
        <v>240</v>
      </c>
      <c r="H38" s="36"/>
      <c r="I38" s="36" t="s">
        <v>240</v>
      </c>
      <c r="J38" s="36"/>
      <c r="L38">
        <f t="shared" ref="L38" si="179">IFERROR(LEFT(C38,(FIND("x",C38)-1)),1)</f>
        <v>1</v>
      </c>
      <c r="M38">
        <f t="shared" ref="M38" si="180">IFERROR(MID(C38,FIND("+",C38)+1,10),0)</f>
        <v>0</v>
      </c>
      <c r="N38">
        <f t="shared" ref="N38" si="181">IFERROR(LEFT(E38,(FIND("x",E38)-1)),1)</f>
        <v>1</v>
      </c>
      <c r="O38">
        <f t="shared" ref="O38" si="182">IFERROR(MID(E38,FIND("+",E38)+1,10),0)</f>
        <v>0</v>
      </c>
      <c r="P38">
        <f t="shared" ref="P38" si="183">IFERROR(LEFT(G38,(FIND("x",G38)-1)),1)</f>
        <v>1</v>
      </c>
      <c r="Q38">
        <f t="shared" ref="Q38" si="184">IFERROR(MID(G38,FIND("+",G38)+1,10),0)</f>
        <v>0</v>
      </c>
      <c r="R38">
        <f t="shared" ref="R38" si="185">IFERROR(LEFT(I38,(FIND("x",I38)-1)),1)</f>
        <v>1</v>
      </c>
      <c r="S38">
        <f t="shared" ref="S38" si="186">IFERROR(MID(I38,FIND("+",I38)+1,10),0)</f>
        <v>0</v>
      </c>
    </row>
    <row r="39" spans="1:25" ht="37.5" customHeight="1" thickBot="1" x14ac:dyDescent="0.3">
      <c r="A39" s="2" t="s">
        <v>129</v>
      </c>
      <c r="B39" s="4" t="s">
        <v>1</v>
      </c>
      <c r="C39" s="35" t="s">
        <v>247</v>
      </c>
      <c r="D39" s="36"/>
      <c r="E39" s="38" t="s">
        <v>248</v>
      </c>
      <c r="F39" s="38"/>
      <c r="G39" s="35" t="s">
        <v>249</v>
      </c>
      <c r="H39" s="36"/>
      <c r="I39" s="30" t="s">
        <v>250</v>
      </c>
      <c r="J39" s="30"/>
      <c r="L39" t="str">
        <f t="shared" ref="L39" si="187">IF(RIGHT(C39)="U","+","-")</f>
        <v>+</v>
      </c>
      <c r="N39" t="str">
        <f t="shared" ref="N39" si="188">IF(RIGHT(E39)="U","+","-")</f>
        <v>+</v>
      </c>
      <c r="P39" t="str">
        <f t="shared" ref="P39" si="189">IF(RIGHT(G39)="U","+","-")</f>
        <v>+</v>
      </c>
      <c r="R39" t="str">
        <f t="shared" ref="R39" si="190">IF(RIGHT(I39)="U","+","-")</f>
        <v>+</v>
      </c>
      <c r="U39" t="str">
        <f>"BO_ " &amp; HEX2DEC(LEFT(A40,3)) &amp; " " &amp; A39 &amp; " :8 LR_F88"</f>
        <v>BO_ 1548 Frame_13 :8 LR_F88</v>
      </c>
      <c r="V39" t="str">
        <f t="shared" ref="V39" si="191">" SG_ "&amp;C39&amp;" : 7|16@0"&amp;L39&amp;" ("&amp;L41&amp;","&amp;M41&amp;") [0|0] """&amp;C40&amp;""""</f>
        <v xml:space="preserve"> SG_ fuelConsVolLR_U : 7|16@0+ (0.1,0) [0|0] "Litres"</v>
      </c>
      <c r="W39" t="str">
        <f t="shared" ref="W39" si="192">" SG_ "&amp;E39&amp;" : 23|16@0"&amp;N39&amp;" ("&amp;N41&amp;","&amp;O41&amp;") [0|0] """&amp;E40&amp;""""</f>
        <v xml:space="preserve"> SG_ sensorSwitch_U : 23|16@0+ (1,0) [0|0] ""</v>
      </c>
      <c r="X39" t="str">
        <f t="shared" ref="X39" si="193">" SG_ "&amp;G39&amp;" : 39|16@0"&amp;P39&amp;" ("&amp;P41&amp;","&amp;Q41&amp;") [0|0] """&amp;G40&amp;""""</f>
        <v xml:space="preserve"> SG_ alsState_U : 39|16@0+ (1,0) [0|0] ""</v>
      </c>
      <c r="Y39" t="str">
        <f t="shared" ref="Y39" si="194">" SG_ "&amp;I39&amp;" : 55|16@0"&amp;R39&amp;" ("&amp;R41&amp;","&amp;S41&amp;") [0|0] """&amp;I40&amp;""""</f>
        <v xml:space="preserve"> SG_ wgcStrategyActive_U : 55|16@0+ (1,0) [0|0] ""</v>
      </c>
    </row>
    <row r="40" spans="1:25" ht="15.75" thickBot="1" x14ac:dyDescent="0.3">
      <c r="A40" s="2" t="s">
        <v>246</v>
      </c>
      <c r="B40" s="4" t="s">
        <v>2</v>
      </c>
      <c r="C40" s="35" t="s">
        <v>251</v>
      </c>
      <c r="D40" s="36"/>
      <c r="E40" s="38"/>
      <c r="F40" s="38"/>
      <c r="G40" s="35"/>
      <c r="H40" s="36"/>
      <c r="I40" s="38"/>
      <c r="J40" s="38"/>
    </row>
    <row r="41" spans="1:25" ht="26.25" thickBot="1" x14ac:dyDescent="0.3">
      <c r="A41" s="20" t="s">
        <v>205</v>
      </c>
      <c r="B41" s="4" t="s">
        <v>4</v>
      </c>
      <c r="C41" s="35" t="s">
        <v>238</v>
      </c>
      <c r="D41" s="36"/>
      <c r="E41" s="36" t="s">
        <v>240</v>
      </c>
      <c r="F41" s="36"/>
      <c r="G41" s="36" t="s">
        <v>240</v>
      </c>
      <c r="H41" s="36"/>
      <c r="I41" s="36" t="s">
        <v>240</v>
      </c>
      <c r="J41" s="36"/>
      <c r="L41" t="str">
        <f t="shared" ref="L41" si="195">IFERROR(LEFT(C41,(FIND("x",C41)-1)),1)</f>
        <v>0.1</v>
      </c>
      <c r="M41" t="str">
        <f t="shared" ref="M41" si="196">IFERROR(MID(C41,FIND("+",C41)+1,10),0)</f>
        <v>0</v>
      </c>
      <c r="N41">
        <f t="shared" ref="N41" si="197">IFERROR(LEFT(E41,(FIND("x",E41)-1)),1)</f>
        <v>1</v>
      </c>
      <c r="O41">
        <f t="shared" ref="O41" si="198">IFERROR(MID(E41,FIND("+",E41)+1,10),0)</f>
        <v>0</v>
      </c>
      <c r="P41">
        <f t="shared" ref="P41" si="199">IFERROR(LEFT(G41,(FIND("x",G41)-1)),1)</f>
        <v>1</v>
      </c>
      <c r="Q41">
        <f t="shared" ref="Q41" si="200">IFERROR(MID(G41,FIND("+",G41)+1,10),0)</f>
        <v>0</v>
      </c>
      <c r="R41">
        <f t="shared" ref="R41" si="201">IFERROR(LEFT(I41,(FIND("x",I41)-1)),1)</f>
        <v>1</v>
      </c>
      <c r="S41">
        <f t="shared" ref="S41" si="202">IFERROR(MID(I41,FIND("+",I41)+1,10),0)</f>
        <v>0</v>
      </c>
    </row>
    <row r="42" spans="1:25" ht="39" customHeight="1" thickBot="1" x14ac:dyDescent="0.3">
      <c r="A42" s="2" t="s">
        <v>130</v>
      </c>
      <c r="B42" s="4" t="s">
        <v>1</v>
      </c>
      <c r="C42" s="42" t="s">
        <v>253</v>
      </c>
      <c r="D42" s="43"/>
      <c r="E42" s="38" t="s">
        <v>254</v>
      </c>
      <c r="F42" s="38"/>
      <c r="G42" s="35" t="s">
        <v>255</v>
      </c>
      <c r="H42" s="36"/>
      <c r="I42" s="38" t="s">
        <v>256</v>
      </c>
      <c r="J42" s="38"/>
      <c r="L42" t="str">
        <f t="shared" ref="L42" si="203">IF(RIGHT(C42)="U","+","-")</f>
        <v>+</v>
      </c>
      <c r="N42" t="str">
        <f t="shared" ref="N42" si="204">IF(RIGHT(E42)="U","+","-")</f>
        <v>+</v>
      </c>
      <c r="P42" t="str">
        <f t="shared" ref="P42" si="205">IF(RIGHT(G42)="U","+","-")</f>
        <v>+</v>
      </c>
      <c r="R42" t="str">
        <f t="shared" ref="R42" si="206">IF(RIGHT(I42)="U","+","-")</f>
        <v>+</v>
      </c>
      <c r="U42" t="str">
        <f>"BO_ " &amp; HEX2DEC(LEFT(A43,3)) &amp; " " &amp; A42 &amp; " :8 LR_F88"</f>
        <v>BO_ 1549 Frame_14 :8 LR_F88</v>
      </c>
      <c r="V42" t="str">
        <f t="shared" ref="V42" si="207">" SG_ "&amp;C42&amp;" : 7|16@0"&amp;L42&amp;" ("&amp;L44&amp;","&amp;M44&amp;") [0|0] """&amp;C43&amp;""""</f>
        <v xml:space="preserve"> SG_ gearCutDogKickCount_U : 7|16@0+ (1,0) [0|0] ""</v>
      </c>
      <c r="W42" t="str">
        <f t="shared" ref="W42" si="208">" SG_ "&amp;E42&amp;" : 23|16@0"&amp;N42&amp;" ("&amp;N44&amp;","&amp;O44&amp;") [0|0] """&amp;E43&amp;""""</f>
        <v xml:space="preserve"> SG_ gearCutFailCount_U : 23|16@0+ (1,0) [0|0] ""</v>
      </c>
      <c r="X42" t="str">
        <f t="shared" ref="X42" si="209">" SG_ "&amp;G42&amp;" : 39|16@0"&amp;P42&amp;" ("&amp;P44&amp;","&amp;Q44&amp;") [0|0] """&amp;G43&amp;""""</f>
        <v xml:space="preserve"> SG_ dbwStatus_U : 39|16@0+ (1,0) [0|0] ""</v>
      </c>
      <c r="Y42" t="str">
        <f t="shared" ref="Y42" si="210">" SG_ "&amp;I42&amp;" : 55|16@0"&amp;R42&amp;" ("&amp;R44&amp;","&amp;S44&amp;") [0|0] """&amp;I43&amp;""""</f>
        <v xml:space="preserve"> SG_ knockStatus_U : 55|16@0+ (1,0) [0|0] ""</v>
      </c>
    </row>
    <row r="43" spans="1:25" ht="15.75" thickBot="1" x14ac:dyDescent="0.3">
      <c r="A43" s="2" t="s">
        <v>252</v>
      </c>
      <c r="B43" s="4" t="s">
        <v>2</v>
      </c>
      <c r="C43" s="35"/>
      <c r="D43" s="36"/>
      <c r="E43" s="38"/>
      <c r="F43" s="38"/>
      <c r="G43" s="35"/>
      <c r="H43" s="36"/>
      <c r="I43" s="38"/>
      <c r="J43" s="38"/>
    </row>
    <row r="44" spans="1:25" ht="27.75" customHeight="1" thickBot="1" x14ac:dyDescent="0.3">
      <c r="A44" s="20" t="s">
        <v>205</v>
      </c>
      <c r="B44" s="4" t="s">
        <v>4</v>
      </c>
      <c r="C44" s="35" t="s">
        <v>233</v>
      </c>
      <c r="D44" s="36"/>
      <c r="E44" s="36" t="s">
        <v>233</v>
      </c>
      <c r="F44" s="36"/>
      <c r="G44" s="36" t="s">
        <v>240</v>
      </c>
      <c r="H44" s="36"/>
      <c r="I44" s="36" t="s">
        <v>240</v>
      </c>
      <c r="J44" s="36"/>
      <c r="L44" t="str">
        <f t="shared" ref="L44" si="211">IFERROR(LEFT(C44,(FIND("x",C44)-1)),1)</f>
        <v>1</v>
      </c>
      <c r="M44" t="str">
        <f t="shared" ref="M44" si="212">IFERROR(MID(C44,FIND("+",C44)+1,10),0)</f>
        <v>0</v>
      </c>
      <c r="N44" t="str">
        <f t="shared" ref="N44" si="213">IFERROR(LEFT(E44,(FIND("x",E44)-1)),1)</f>
        <v>1</v>
      </c>
      <c r="O44" t="str">
        <f t="shared" ref="O44" si="214">IFERROR(MID(E44,FIND("+",E44)+1,10),0)</f>
        <v>0</v>
      </c>
      <c r="P44">
        <f t="shared" ref="P44" si="215">IFERROR(LEFT(G44,(FIND("x",G44)-1)),1)</f>
        <v>1</v>
      </c>
      <c r="Q44">
        <f t="shared" ref="Q44" si="216">IFERROR(MID(G44,FIND("+",G44)+1,10),0)</f>
        <v>0</v>
      </c>
      <c r="R44">
        <f t="shared" ref="R44" si="217">IFERROR(LEFT(I44,(FIND("x",I44)-1)),1)</f>
        <v>1</v>
      </c>
      <c r="S44">
        <f t="shared" ref="S44" si="218">IFERROR(MID(I44,FIND("+",I44)+1,10),0)</f>
        <v>0</v>
      </c>
    </row>
    <row r="45" spans="1:25" ht="26.25" customHeight="1" thickBot="1" x14ac:dyDescent="0.3">
      <c r="A45" s="2" t="s">
        <v>131</v>
      </c>
      <c r="B45" s="4" t="s">
        <v>1</v>
      </c>
      <c r="C45" s="35" t="s">
        <v>287</v>
      </c>
      <c r="D45" s="36"/>
      <c r="E45" s="38" t="s">
        <v>258</v>
      </c>
      <c r="F45" s="38"/>
      <c r="G45" s="35" t="s">
        <v>259</v>
      </c>
      <c r="H45" s="36"/>
      <c r="I45" s="38" t="s">
        <v>260</v>
      </c>
      <c r="J45" s="38"/>
      <c r="L45" t="str">
        <f t="shared" ref="L45" si="219">IF(RIGHT(C45)="U","+","-")</f>
        <v>+</v>
      </c>
      <c r="N45" t="str">
        <f t="shared" ref="N45" si="220">IF(RIGHT(E45)="U","+","-")</f>
        <v>-</v>
      </c>
      <c r="P45" t="str">
        <f t="shared" ref="P45" si="221">IF(RIGHT(G45)="U","+","-")</f>
        <v>+</v>
      </c>
      <c r="R45" t="str">
        <f t="shared" ref="R45" si="222">IF(RIGHT(I45)="U","+","-")</f>
        <v>-</v>
      </c>
      <c r="U45" t="str">
        <f>"BO_ " &amp; HEX2DEC(LEFT(A46,3)) &amp; " " &amp; A45 &amp; " :8 LR_F88"</f>
        <v>BO_ 1550 Frame_15 :8 LR_F88</v>
      </c>
      <c r="V45" t="str">
        <f t="shared" ref="V45" si="223">" SG_ "&amp;C45&amp;" : 7|16@0"&amp;L45&amp;" ("&amp;L47&amp;","&amp;M47&amp;") [0|0] """&amp;C46&amp;""""</f>
        <v xml:space="preserve"> SG_ gearVF_U : 7|16@0+ (7.63685239491691E-05,0) [0|0] "V"</v>
      </c>
      <c r="W45" t="str">
        <f t="shared" ref="W45" si="224">" SG_ "&amp;E45&amp;" : 23|16@0"&amp;N45&amp;" ("&amp;N47&amp;","&amp;O47&amp;") [0|0] """&amp;E46&amp;""""</f>
        <v xml:space="preserve"> SG_ gear_S : 23|16@0- (1,0) [0|0] ""</v>
      </c>
      <c r="X45" t="str">
        <f t="shared" ref="X45" si="225">" SG_ "&amp;G45&amp;" : 39|16@0"&amp;P45&amp;" ("&amp;P47&amp;","&amp;Q47&amp;") [0|0] """&amp;G46&amp;""""</f>
        <v xml:space="preserve"> SG_ paddleSwitch_U : 39|16@0+ (1,0) [0|0] ""</v>
      </c>
      <c r="Y45" t="str">
        <f t="shared" ref="Y45" si="226">" SG_ "&amp;I45&amp;" : 55|16@0"&amp;R45&amp;" ("&amp;R47&amp;","&amp;S47&amp;") [0|0] """&amp;I46&amp;""""</f>
        <v xml:space="preserve"> SG_ gsp_S : 55|16@0- (1,0) [0|0] ""</v>
      </c>
    </row>
    <row r="46" spans="1:25" ht="15.75" thickBot="1" x14ac:dyDescent="0.3">
      <c r="A46" s="2" t="s">
        <v>257</v>
      </c>
      <c r="B46" s="4" t="s">
        <v>2</v>
      </c>
      <c r="C46" s="35" t="s">
        <v>184</v>
      </c>
      <c r="D46" s="36"/>
      <c r="E46" s="38"/>
      <c r="F46" s="38"/>
      <c r="G46" s="35"/>
      <c r="H46" s="36"/>
      <c r="I46" s="38"/>
      <c r="J46" s="38"/>
    </row>
    <row r="47" spans="1:25" ht="26.25" thickBot="1" x14ac:dyDescent="0.3">
      <c r="A47" s="20" t="s">
        <v>178</v>
      </c>
      <c r="B47" s="4" t="s">
        <v>4</v>
      </c>
      <c r="C47" s="39" t="str">
        <f>1/13094.4&amp;"x+0"</f>
        <v>7.63685239491691E-05x+0</v>
      </c>
      <c r="D47" s="40"/>
      <c r="E47" s="36" t="s">
        <v>240</v>
      </c>
      <c r="F47" s="36"/>
      <c r="G47" s="36" t="s">
        <v>240</v>
      </c>
      <c r="H47" s="36"/>
      <c r="I47" s="36" t="s">
        <v>233</v>
      </c>
      <c r="J47" s="36"/>
      <c r="L47" s="54" t="str">
        <f t="shared" ref="L47" si="227">IFERROR(LEFT(C47,(FIND("x",C47)-1)),1)</f>
        <v>7.63685239491691E-05</v>
      </c>
      <c r="M47" t="str">
        <f t="shared" ref="M47" si="228">IFERROR(MID(C47,FIND("+",C47)+1,10),0)</f>
        <v>0</v>
      </c>
      <c r="N47">
        <f t="shared" ref="N47" si="229">IFERROR(LEFT(E47,(FIND("x",E47)-1)),1)</f>
        <v>1</v>
      </c>
      <c r="O47">
        <f t="shared" ref="O47" si="230">IFERROR(MID(E47,FIND("+",E47)+1,10),0)</f>
        <v>0</v>
      </c>
      <c r="P47">
        <f t="shared" ref="P47" si="231">IFERROR(LEFT(G47,(FIND("x",G47)-1)),1)</f>
        <v>1</v>
      </c>
      <c r="Q47">
        <f t="shared" ref="Q47" si="232">IFERROR(MID(G47,FIND("+",G47)+1,10),0)</f>
        <v>0</v>
      </c>
      <c r="R47" t="str">
        <f t="shared" ref="R47" si="233">IFERROR(LEFT(I47,(FIND("x",I47)-1)),1)</f>
        <v>1</v>
      </c>
      <c r="S47" t="str">
        <f t="shared" ref="S47" si="234">IFERROR(MID(I47,FIND("+",I47)+1,10),0)</f>
        <v>0</v>
      </c>
    </row>
    <row r="48" spans="1:25" ht="26.25" customHeight="1" thickBot="1" x14ac:dyDescent="0.3">
      <c r="A48" s="2" t="s">
        <v>281</v>
      </c>
      <c r="B48" s="4" t="s">
        <v>1</v>
      </c>
      <c r="C48" s="35" t="s">
        <v>262</v>
      </c>
      <c r="D48" s="36"/>
      <c r="E48" s="38" t="s">
        <v>263</v>
      </c>
      <c r="F48" s="38"/>
      <c r="G48" s="35" t="s">
        <v>264</v>
      </c>
      <c r="H48" s="36"/>
      <c r="I48" s="38" t="s">
        <v>265</v>
      </c>
      <c r="J48" s="38"/>
      <c r="L48" t="str">
        <f t="shared" ref="L48" si="235">IF(RIGHT(C48)="U","+","-")</f>
        <v>-</v>
      </c>
      <c r="N48" t="str">
        <f t="shared" ref="N48" si="236">IF(RIGHT(E48)="U","+","-")</f>
        <v>-</v>
      </c>
      <c r="P48" t="str">
        <f t="shared" ref="P48" si="237">IF(RIGHT(G48)="U","+","-")</f>
        <v>-</v>
      </c>
      <c r="R48" t="str">
        <f t="shared" ref="R48" si="238">IF(RIGHT(I48)="U","+","-")</f>
        <v>-</v>
      </c>
      <c r="U48" t="str">
        <f>"BO_ " &amp; HEX2DEC(LEFT(A49,3)) &amp; " " &amp; A48 &amp; " :8 LR_F88"</f>
        <v>BO_ 1551 Frame_16 :8 LR_F88</v>
      </c>
      <c r="V48" t="str">
        <f t="shared" ref="V48" si="239">" SG_ "&amp;C48&amp;" : 7|16@0"&amp;L48&amp;" ("&amp;L50&amp;","&amp;M50&amp;") [0|0] """&amp;C49&amp;""""</f>
        <v xml:space="preserve"> SG_ flSpeed_S : 7|16@0- (0.036,0) [0|0] "kph"</v>
      </c>
      <c r="W48" t="str">
        <f t="shared" ref="W48" si="240">" SG_ "&amp;E48&amp;" : 23|16@0"&amp;N48&amp;" ("&amp;N50&amp;","&amp;O50&amp;") [0|0] """&amp;E49&amp;""""</f>
        <v xml:space="preserve"> SG_ frSpeed_S : 23|16@0- (0.036,0) [0|0] "kph"</v>
      </c>
      <c r="X48" t="str">
        <f t="shared" ref="X48" si="241">" SG_ "&amp;G48&amp;" : 39|16@0"&amp;P48&amp;" ("&amp;P50&amp;","&amp;Q50&amp;") [0|0] """&amp;G49&amp;""""</f>
        <v xml:space="preserve"> SG_ rlSpeed_S : 39|16@0- (0.036,0) [0|0] "kph"</v>
      </c>
      <c r="Y48" t="str">
        <f t="shared" ref="Y48" si="242">" SG_ "&amp;I48&amp;" : 55|16@0"&amp;R48&amp;" ("&amp;R50&amp;","&amp;S50&amp;") [0|0] """&amp;I49&amp;""""</f>
        <v xml:space="preserve"> SG_ rrSpeed_S : 55|16@0- (0.036,0) [0|0] "kph"</v>
      </c>
    </row>
    <row r="49" spans="1:25" ht="15.75" thickBot="1" x14ac:dyDescent="0.3">
      <c r="A49" s="2" t="s">
        <v>261</v>
      </c>
      <c r="B49" s="4" t="s">
        <v>2</v>
      </c>
      <c r="C49" s="35" t="s">
        <v>266</v>
      </c>
      <c r="D49" s="36"/>
      <c r="E49" s="38" t="s">
        <v>266</v>
      </c>
      <c r="F49" s="38"/>
      <c r="G49" s="35" t="s">
        <v>266</v>
      </c>
      <c r="H49" s="36"/>
      <c r="I49" s="38" t="s">
        <v>266</v>
      </c>
      <c r="J49" s="38"/>
    </row>
    <row r="50" spans="1:25" ht="26.25" thickBot="1" x14ac:dyDescent="0.3">
      <c r="A50" s="20" t="s">
        <v>178</v>
      </c>
      <c r="B50" s="4" t="s">
        <v>4</v>
      </c>
      <c r="C50" s="35" t="s">
        <v>278</v>
      </c>
      <c r="D50" s="36"/>
      <c r="E50" s="36" t="s">
        <v>278</v>
      </c>
      <c r="F50" s="36"/>
      <c r="G50" s="36" t="s">
        <v>278</v>
      </c>
      <c r="H50" s="36"/>
      <c r="I50" s="36" t="s">
        <v>278</v>
      </c>
      <c r="J50" s="36"/>
      <c r="L50" t="str">
        <f t="shared" ref="L50" si="243">IFERROR(LEFT(C50,(FIND("x",C50)-1)),1)</f>
        <v>0.036</v>
      </c>
      <c r="M50" t="str">
        <f t="shared" ref="M50" si="244">IFERROR(MID(C50,FIND("+",C50)+1,10),0)</f>
        <v>0</v>
      </c>
      <c r="N50" t="str">
        <f t="shared" ref="N50" si="245">IFERROR(LEFT(E50,(FIND("x",E50)-1)),1)</f>
        <v>0.036</v>
      </c>
      <c r="O50" t="str">
        <f t="shared" ref="O50" si="246">IFERROR(MID(E50,FIND("+",E50)+1,10),0)</f>
        <v>0</v>
      </c>
      <c r="P50" t="str">
        <f t="shared" ref="P50" si="247">IFERROR(LEFT(G50,(FIND("x",G50)-1)),1)</f>
        <v>0.036</v>
      </c>
      <c r="Q50" t="str">
        <f t="shared" ref="Q50" si="248">IFERROR(MID(G50,FIND("+",G50)+1,10),0)</f>
        <v>0</v>
      </c>
      <c r="R50" t="str">
        <f t="shared" ref="R50" si="249">IFERROR(LEFT(I50,(FIND("x",I50)-1)),1)</f>
        <v>0.036</v>
      </c>
      <c r="S50" t="str">
        <f t="shared" ref="S50" si="250">IFERROR(MID(I50,FIND("+",I50)+1,10),0)</f>
        <v>0</v>
      </c>
    </row>
    <row r="51" spans="1:25" ht="26.25" customHeight="1" thickBot="1" x14ac:dyDescent="0.3">
      <c r="A51" s="2" t="s">
        <v>282</v>
      </c>
      <c r="B51" s="4" t="s">
        <v>1</v>
      </c>
      <c r="C51" s="35" t="s">
        <v>268</v>
      </c>
      <c r="D51" s="36"/>
      <c r="E51" s="38" t="s">
        <v>269</v>
      </c>
      <c r="F51" s="38"/>
      <c r="G51" s="35" t="s">
        <v>270</v>
      </c>
      <c r="H51" s="36"/>
      <c r="I51" s="38" t="s">
        <v>271</v>
      </c>
      <c r="J51" s="38"/>
      <c r="L51" t="str">
        <f t="shared" ref="L51" si="251">IF(RIGHT(C51)="U","+","-")</f>
        <v>-</v>
      </c>
      <c r="N51" t="str">
        <f t="shared" ref="N51" si="252">IF(RIGHT(E51)="U","+","-")</f>
        <v>-</v>
      </c>
      <c r="P51" t="str">
        <f t="shared" ref="P51" si="253">IF(RIGHT(G51)="U","+","-")</f>
        <v>-</v>
      </c>
      <c r="R51" t="str">
        <f t="shared" ref="R51" si="254">IF(RIGHT(I51)="U","+","-")</f>
        <v>-</v>
      </c>
      <c r="U51" t="str">
        <f>"BO_ " &amp; HEX2DEC(LEFT(A52,3)) &amp; " " &amp; A51 &amp; " :8 LR_F88"</f>
        <v>BO_ 1552 Frame_17 :8 LR_F88</v>
      </c>
      <c r="V51" t="str">
        <f t="shared" ref="V51" si="255">" SG_ "&amp;C51&amp;" : 7|16@0"&amp;L51&amp;" ("&amp;L53&amp;","&amp;M53&amp;") [0|0] """&amp;C52&amp;""""</f>
        <v xml:space="preserve"> SG_ swa_S : 7|16@0- (0.03125,0) [0|0] "deg"</v>
      </c>
      <c r="W51" t="str">
        <f t="shared" ref="W51" si="256">" SG_ "&amp;E51&amp;" : 23|16@0"&amp;N51&amp;" ("&amp;N53&amp;","&amp;O53&amp;") [0|0] """&amp;E52&amp;""""</f>
        <v xml:space="preserve"> SG_ latG_S : 23|16@0- (0.001,0) [0|0] "G"</v>
      </c>
      <c r="X51" t="str">
        <f t="shared" ref="X51" si="257">" SG_ "&amp;G51&amp;" : 39|16@0"&amp;P51&amp;" ("&amp;P53&amp;","&amp;Q53&amp;") [0|0] """&amp;G52&amp;""""</f>
        <v xml:space="preserve"> SG_ vehicleSpeed_S : 39|16@0- (0.036,0) [0|0] "kph"</v>
      </c>
      <c r="Y51" t="str">
        <f t="shared" ref="Y51" si="258">" SG_ "&amp;I51&amp;" : 55|16@0"&amp;R51&amp;" ("&amp;R53&amp;","&amp;S53&amp;") [0|0] """&amp;I52&amp;""""</f>
        <v xml:space="preserve"> SG_ drivenSpeed_S : 55|16@0- (0.036,0) [0|0] "kph"</v>
      </c>
    </row>
    <row r="52" spans="1:25" ht="15.75" thickBot="1" x14ac:dyDescent="0.3">
      <c r="A52" s="2" t="s">
        <v>267</v>
      </c>
      <c r="B52" s="4" t="s">
        <v>2</v>
      </c>
      <c r="C52" s="35" t="s">
        <v>272</v>
      </c>
      <c r="D52" s="36"/>
      <c r="E52" s="38" t="s">
        <v>185</v>
      </c>
      <c r="F52" s="38"/>
      <c r="G52" s="35" t="s">
        <v>266</v>
      </c>
      <c r="H52" s="36"/>
      <c r="I52" s="38" t="s">
        <v>266</v>
      </c>
      <c r="J52" s="38"/>
    </row>
    <row r="53" spans="1:25" ht="26.25" thickBot="1" x14ac:dyDescent="0.3">
      <c r="A53" s="20" t="s">
        <v>178</v>
      </c>
      <c r="B53" s="4" t="s">
        <v>4</v>
      </c>
      <c r="C53" s="35" t="s">
        <v>279</v>
      </c>
      <c r="D53" s="36"/>
      <c r="E53" s="36" t="s">
        <v>236</v>
      </c>
      <c r="F53" s="36"/>
      <c r="G53" s="36" t="s">
        <v>278</v>
      </c>
      <c r="H53" s="36"/>
      <c r="I53" s="36" t="s">
        <v>278</v>
      </c>
      <c r="J53" s="36"/>
      <c r="L53" t="str">
        <f t="shared" ref="L53" si="259">IFERROR(LEFT(C53,(FIND("x",C53)-1)),1)</f>
        <v>0.03125</v>
      </c>
      <c r="M53" t="str">
        <f t="shared" ref="M53" si="260">IFERROR(MID(C53,FIND("+",C53)+1,10),0)</f>
        <v>0</v>
      </c>
      <c r="N53" t="str">
        <f t="shared" ref="N53" si="261">IFERROR(LEFT(E53,(FIND("x",E53)-1)),1)</f>
        <v>0.001</v>
      </c>
      <c r="O53" t="str">
        <f t="shared" ref="O53" si="262">IFERROR(MID(E53,FIND("+",E53)+1,10),0)</f>
        <v>0</v>
      </c>
      <c r="P53" t="str">
        <f t="shared" ref="P53" si="263">IFERROR(LEFT(G53,(FIND("x",G53)-1)),1)</f>
        <v>0.036</v>
      </c>
      <c r="Q53" t="str">
        <f t="shared" ref="Q53" si="264">IFERROR(MID(G53,FIND("+",G53)+1,10),0)</f>
        <v>0</v>
      </c>
      <c r="R53" t="str">
        <f t="shared" ref="R53" si="265">IFERROR(LEFT(I53,(FIND("x",I53)-1)),1)</f>
        <v>0.036</v>
      </c>
      <c r="S53" t="str">
        <f t="shared" ref="S53" si="266">IFERROR(MID(I53,FIND("+",I53)+1,10),0)</f>
        <v>0</v>
      </c>
    </row>
    <row r="54" spans="1:25" ht="26.25" customHeight="1" thickBot="1" x14ac:dyDescent="0.3">
      <c r="A54" s="2" t="s">
        <v>283</v>
      </c>
      <c r="B54" s="4" t="s">
        <v>1</v>
      </c>
      <c r="C54" s="35" t="s">
        <v>274</v>
      </c>
      <c r="D54" s="36"/>
      <c r="E54" s="38" t="s">
        <v>275</v>
      </c>
      <c r="F54" s="38"/>
      <c r="G54" s="35" t="s">
        <v>276</v>
      </c>
      <c r="H54" s="36"/>
      <c r="I54" s="38" t="s">
        <v>277</v>
      </c>
      <c r="J54" s="38"/>
      <c r="L54" t="str">
        <f t="shared" ref="L54" si="267">IF(RIGHT(C54)="U","+","-")</f>
        <v>-</v>
      </c>
      <c r="N54" t="str">
        <f t="shared" ref="N54" si="268">IF(RIGHT(E54)="U","+","-")</f>
        <v>-</v>
      </c>
      <c r="P54" t="str">
        <f t="shared" ref="P54" si="269">IF(RIGHT(G54)="U","+","-")</f>
        <v>-</v>
      </c>
      <c r="R54" t="str">
        <f t="shared" ref="R54" si="270">IF(RIGHT(I54)="U","+","-")</f>
        <v>-</v>
      </c>
      <c r="U54" t="str">
        <f>"BO_ " &amp; HEX2DEC(LEFT(A55,3)) &amp; " " &amp; A54 &amp; " :8 LR_F88"</f>
        <v>BO_ 1553 Frame_18 :8 LR_F88</v>
      </c>
      <c r="V54" t="str">
        <f t="shared" ref="V54" si="271">" SG_ "&amp;C54&amp;" : 7|16@0"&amp;L54&amp;" ("&amp;L56&amp;","&amp;M56&amp;") [0|0] """&amp;C55&amp;""""</f>
        <v xml:space="preserve"> SG_ wheelSpin_S : 7|16@0- (0.09765625,0) [0|0] "%"</v>
      </c>
      <c r="W54" t="str">
        <f t="shared" ref="W54" si="272">" SG_ "&amp;E54&amp;" : 23|16@0"&amp;N54&amp;" ("&amp;N56&amp;","&amp;O56&amp;") [0|0] """&amp;E55&amp;""""</f>
        <v xml:space="preserve"> SG_ tcSpinTarg_S : 23|16@0- (0.09765625,0) [0|0] "%"</v>
      </c>
      <c r="X54" t="str">
        <f t="shared" ref="X54" si="273">" SG_ "&amp;G54&amp;" : 39|16@0"&amp;P54&amp;" ("&amp;P56&amp;","&amp;Q56&amp;") [0|0] """&amp;G55&amp;""""</f>
        <v xml:space="preserve"> SG_ tcSpinErr_S : 39|16@0- (0.09765625,0) [0|0] "%"</v>
      </c>
      <c r="Y54" t="str">
        <f t="shared" ref="Y54" si="274">" SG_ "&amp;I54&amp;" : 55|16@0"&amp;R54&amp;" ("&amp;R56&amp;","&amp;S56&amp;") [0|0] """&amp;I55&amp;""""</f>
        <v xml:space="preserve"> SG_ tcTrq_S : 55|16@0- (0.09765625,0) [0|0] "%"</v>
      </c>
    </row>
    <row r="55" spans="1:25" ht="15.75" thickBot="1" x14ac:dyDescent="0.3">
      <c r="A55" s="2" t="s">
        <v>273</v>
      </c>
      <c r="B55" s="4" t="s">
        <v>2</v>
      </c>
      <c r="C55" s="35" t="s">
        <v>183</v>
      </c>
      <c r="D55" s="36"/>
      <c r="E55" s="38" t="s">
        <v>183</v>
      </c>
      <c r="F55" s="38"/>
      <c r="G55" s="35" t="s">
        <v>183</v>
      </c>
      <c r="H55" s="36"/>
      <c r="I55" s="38" t="s">
        <v>183</v>
      </c>
      <c r="J55" s="38"/>
    </row>
    <row r="56" spans="1:25" ht="26.25" thickBot="1" x14ac:dyDescent="0.3">
      <c r="A56" s="22" t="s">
        <v>178</v>
      </c>
      <c r="B56" s="23" t="s">
        <v>4</v>
      </c>
      <c r="C56" s="35" t="s">
        <v>280</v>
      </c>
      <c r="D56" s="36"/>
      <c r="E56" s="35" t="s">
        <v>280</v>
      </c>
      <c r="F56" s="36"/>
      <c r="G56" s="35" t="s">
        <v>280</v>
      </c>
      <c r="H56" s="36"/>
      <c r="I56" s="35" t="s">
        <v>280</v>
      </c>
      <c r="J56" s="36"/>
      <c r="L56" t="str">
        <f t="shared" ref="L56" si="275">IFERROR(LEFT(C56,(FIND("x",C56)-1)),1)</f>
        <v>0.09765625</v>
      </c>
      <c r="M56" t="str">
        <f t="shared" ref="M56" si="276">IFERROR(MID(C56,FIND("+",C56)+1,10),0)</f>
        <v>0</v>
      </c>
      <c r="N56" t="str">
        <f t="shared" ref="N56" si="277">IFERROR(LEFT(E56,(FIND("x",E56)-1)),1)</f>
        <v>0.09765625</v>
      </c>
      <c r="O56" t="str">
        <f t="shared" ref="O56" si="278">IFERROR(MID(E56,FIND("+",E56)+1,10),0)</f>
        <v>0</v>
      </c>
      <c r="P56" t="str">
        <f t="shared" ref="P56" si="279">IFERROR(LEFT(G56,(FIND("x",G56)-1)),1)</f>
        <v>0.09765625</v>
      </c>
      <c r="Q56" t="str">
        <f t="shared" ref="Q56" si="280">IFERROR(MID(G56,FIND("+",G56)+1,10),0)</f>
        <v>0</v>
      </c>
      <c r="R56" t="str">
        <f t="shared" ref="R56" si="281">IFERROR(LEFT(I56,(FIND("x",I56)-1)),1)</f>
        <v>0.09765625</v>
      </c>
      <c r="S56" t="str">
        <f t="shared" ref="S56" si="282">IFERROR(MID(I56,FIND("+",I56)+1,10),0)</f>
        <v>0</v>
      </c>
    </row>
  </sheetData>
  <mergeCells count="221">
    <mergeCell ref="C34:D34"/>
    <mergeCell ref="E34:F34"/>
    <mergeCell ref="G34:H34"/>
    <mergeCell ref="I34:J34"/>
    <mergeCell ref="C35:D35"/>
    <mergeCell ref="E35:F35"/>
    <mergeCell ref="G35:H35"/>
    <mergeCell ref="I35:J35"/>
    <mergeCell ref="C32:D32"/>
    <mergeCell ref="E32:F32"/>
    <mergeCell ref="G32:H32"/>
    <mergeCell ref="I32:J32"/>
    <mergeCell ref="C33:D33"/>
    <mergeCell ref="E33:F33"/>
    <mergeCell ref="G33:H33"/>
    <mergeCell ref="I33:J33"/>
    <mergeCell ref="C30:D30"/>
    <mergeCell ref="E30:F30"/>
    <mergeCell ref="G30:H30"/>
    <mergeCell ref="I30:J30"/>
    <mergeCell ref="C31:D31"/>
    <mergeCell ref="E31:F31"/>
    <mergeCell ref="G31:H31"/>
    <mergeCell ref="I31:J31"/>
    <mergeCell ref="C28:D28"/>
    <mergeCell ref="E28:F28"/>
    <mergeCell ref="G28:H28"/>
    <mergeCell ref="I28:J28"/>
    <mergeCell ref="C29:D29"/>
    <mergeCell ref="E29:F29"/>
    <mergeCell ref="G29:H29"/>
    <mergeCell ref="I29:J29"/>
    <mergeCell ref="C26:D26"/>
    <mergeCell ref="E26:F26"/>
    <mergeCell ref="G26:H26"/>
    <mergeCell ref="I26:J26"/>
    <mergeCell ref="C27:D27"/>
    <mergeCell ref="E27:F27"/>
    <mergeCell ref="G27:H27"/>
    <mergeCell ref="I27:J27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C23:D23"/>
    <mergeCell ref="E23:F23"/>
    <mergeCell ref="G23:H23"/>
    <mergeCell ref="I23:J23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E18:F18"/>
    <mergeCell ref="G18:H18"/>
    <mergeCell ref="I18:J18"/>
    <mergeCell ref="C19:D19"/>
    <mergeCell ref="E19:F19"/>
    <mergeCell ref="G19:H19"/>
    <mergeCell ref="I19:J19"/>
    <mergeCell ref="C16:D16"/>
    <mergeCell ref="E16:F16"/>
    <mergeCell ref="G16:H16"/>
    <mergeCell ref="I16:J16"/>
    <mergeCell ref="C17:D17"/>
    <mergeCell ref="E17:F17"/>
    <mergeCell ref="G17:H17"/>
    <mergeCell ref="I17:J17"/>
    <mergeCell ref="C14:D14"/>
    <mergeCell ref="E14:F14"/>
    <mergeCell ref="G14:H14"/>
    <mergeCell ref="I14:J14"/>
    <mergeCell ref="C15:D15"/>
    <mergeCell ref="E15:F15"/>
    <mergeCell ref="G15:H15"/>
    <mergeCell ref="I15:J15"/>
    <mergeCell ref="C12:D12"/>
    <mergeCell ref="E12:F12"/>
    <mergeCell ref="G12:H12"/>
    <mergeCell ref="I12:J12"/>
    <mergeCell ref="C13:D13"/>
    <mergeCell ref="E13:F13"/>
    <mergeCell ref="G13:H13"/>
    <mergeCell ref="I13:J13"/>
    <mergeCell ref="C10:D10"/>
    <mergeCell ref="E10:F10"/>
    <mergeCell ref="G10:H10"/>
    <mergeCell ref="I10:J10"/>
    <mergeCell ref="C11:D11"/>
    <mergeCell ref="E11:F11"/>
    <mergeCell ref="G11:H11"/>
    <mergeCell ref="I11:J11"/>
    <mergeCell ref="C8:D8"/>
    <mergeCell ref="E8:F8"/>
    <mergeCell ref="G8:H8"/>
    <mergeCell ref="I8:J8"/>
    <mergeCell ref="C9:D9"/>
    <mergeCell ref="E9:F9"/>
    <mergeCell ref="G9:H9"/>
    <mergeCell ref="I9:J9"/>
    <mergeCell ref="C6:D6"/>
    <mergeCell ref="E6:F6"/>
    <mergeCell ref="G6:H6"/>
    <mergeCell ref="I6:J6"/>
    <mergeCell ref="C7:D7"/>
    <mergeCell ref="E7:F7"/>
    <mergeCell ref="G7:H7"/>
    <mergeCell ref="I7:J7"/>
    <mergeCell ref="C4:D4"/>
    <mergeCell ref="E4:F4"/>
    <mergeCell ref="G4:H4"/>
    <mergeCell ref="I4:J4"/>
    <mergeCell ref="C5:D5"/>
    <mergeCell ref="E5:F5"/>
    <mergeCell ref="G5:H5"/>
    <mergeCell ref="I5:J5"/>
    <mergeCell ref="A1:B2"/>
    <mergeCell ref="C1:D1"/>
    <mergeCell ref="E1:F1"/>
    <mergeCell ref="G1:H1"/>
    <mergeCell ref="I1:J1"/>
    <mergeCell ref="C3:D3"/>
    <mergeCell ref="E3:F3"/>
    <mergeCell ref="G3:H3"/>
    <mergeCell ref="I3:J3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6:F56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PDU</vt:lpstr>
      <vt:lpstr>ECU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Haley</dc:creator>
  <cp:lastModifiedBy>Matt Haley</cp:lastModifiedBy>
  <dcterms:created xsi:type="dcterms:W3CDTF">2020-08-17T11:15:42Z</dcterms:created>
  <dcterms:modified xsi:type="dcterms:W3CDTF">2021-08-24T15:40:38Z</dcterms:modified>
</cp:coreProperties>
</file>